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Portal Report 2023\"/>
    </mc:Choice>
  </mc:AlternateContent>
  <bookViews>
    <workbookView xWindow="240" yWindow="75" windowWidth="20055" windowHeight="7935" firstSheet="6" activeTab="6"/>
  </bookViews>
  <sheets>
    <sheet name="portal ldrrm 12.31.17 " sheetId="4" state="hidden" r:id="rId1"/>
    <sheet name="portal lbp 12.31.17" sheetId="5" state="hidden" r:id="rId2"/>
    <sheet name="portal ldrrm 03.31.18" sheetId="6" state="hidden" r:id="rId3"/>
    <sheet name="portal lbp 03.31.18" sheetId="7" state="hidden" r:id="rId4"/>
    <sheet name="ldrrm 06.30.18" sheetId="8" state="hidden" r:id="rId5"/>
    <sheet name="LDRRM DILG PORTAL sept 2021" sheetId="9" state="hidden" r:id="rId6"/>
    <sheet name="LDRRMFU dec 2022" sheetId="10" r:id="rId7"/>
  </sheets>
  <definedNames>
    <definedName name="_xlnm.Print_Area" localSheetId="5">'LDRRM DILG PORTAL sept 2021'!$A$1:$G$41</definedName>
    <definedName name="_xlnm.Print_Area" localSheetId="6">'LDRRMFU dec 2022'!$A$1:$G$44</definedName>
  </definedNames>
  <calcPr calcId="162913"/>
</workbook>
</file>

<file path=xl/calcChain.xml><?xml version="1.0" encoding="utf-8"?>
<calcChain xmlns="http://schemas.openxmlformats.org/spreadsheetml/2006/main">
  <c r="E38" i="10" l="1"/>
  <c r="E39" i="10" s="1"/>
  <c r="D38" i="10"/>
  <c r="D39" i="10" s="1"/>
  <c r="B38" i="10"/>
  <c r="G37" i="10"/>
  <c r="G36" i="10"/>
  <c r="G35" i="10"/>
  <c r="C34" i="10"/>
  <c r="G34" i="10" s="1"/>
  <c r="G33" i="10"/>
  <c r="G32" i="10"/>
  <c r="C32" i="10"/>
  <c r="G31" i="10"/>
  <c r="G30" i="10"/>
  <c r="G29" i="10"/>
  <c r="F29" i="10"/>
  <c r="C29" i="10"/>
  <c r="F28" i="10"/>
  <c r="G28" i="10" s="1"/>
  <c r="G27" i="10"/>
  <c r="G26" i="10"/>
  <c r="C25" i="10"/>
  <c r="G25" i="10" s="1"/>
  <c r="G24" i="10"/>
  <c r="G23" i="10"/>
  <c r="F21" i="10"/>
  <c r="E21" i="10"/>
  <c r="D21" i="10"/>
  <c r="C21" i="10"/>
  <c r="B21" i="10"/>
  <c r="B39" i="10" s="1"/>
  <c r="G20" i="10"/>
  <c r="G19" i="10"/>
  <c r="G18" i="10"/>
  <c r="G17" i="10"/>
  <c r="G16" i="10"/>
  <c r="G15" i="10"/>
  <c r="G14" i="10"/>
  <c r="G13" i="10"/>
  <c r="C12" i="10"/>
  <c r="G12" i="10" s="1"/>
  <c r="G21" i="10" s="1"/>
  <c r="E35" i="9"/>
  <c r="E34" i="9"/>
  <c r="D34" i="9"/>
  <c r="C34" i="9"/>
  <c r="B34" i="9"/>
  <c r="C31" i="9"/>
  <c r="G31" i="9" s="1"/>
  <c r="F30" i="9"/>
  <c r="F34" i="9" s="1"/>
  <c r="G29" i="9"/>
  <c r="F29" i="9"/>
  <c r="G28" i="9"/>
  <c r="G27" i="9"/>
  <c r="G26" i="9"/>
  <c r="C26" i="9"/>
  <c r="G25" i="9"/>
  <c r="G24" i="9"/>
  <c r="G23" i="9"/>
  <c r="F21" i="9"/>
  <c r="E21" i="9"/>
  <c r="D21" i="9"/>
  <c r="D35" i="9" s="1"/>
  <c r="C21" i="9"/>
  <c r="C35" i="9" s="1"/>
  <c r="B21" i="9"/>
  <c r="G20" i="9"/>
  <c r="G19" i="9"/>
  <c r="G18" i="9"/>
  <c r="G17" i="9"/>
  <c r="G16" i="9"/>
  <c r="G15" i="9"/>
  <c r="G14" i="9"/>
  <c r="G13" i="9"/>
  <c r="G12" i="9"/>
  <c r="I31" i="8"/>
  <c r="H31" i="8"/>
  <c r="D31" i="8"/>
  <c r="J30" i="8"/>
  <c r="J29" i="8"/>
  <c r="J28" i="8"/>
  <c r="J27" i="8"/>
  <c r="G27" i="8"/>
  <c r="G31" i="8" s="1"/>
  <c r="J26" i="8"/>
  <c r="J25" i="8"/>
  <c r="I24" i="8"/>
  <c r="J24" i="8" s="1"/>
  <c r="E23" i="8"/>
  <c r="E31" i="8" s="1"/>
  <c r="E32" i="8" s="1"/>
  <c r="I22" i="8"/>
  <c r="J22" i="8" s="1"/>
  <c r="J21" i="8"/>
  <c r="I19" i="8"/>
  <c r="I32" i="8" s="1"/>
  <c r="H19" i="8"/>
  <c r="G19" i="8"/>
  <c r="E19" i="8"/>
  <c r="D19" i="8"/>
  <c r="J19" i="8" s="1"/>
  <c r="J18" i="8"/>
  <c r="J17" i="8"/>
  <c r="J16" i="8"/>
  <c r="J15" i="8"/>
  <c r="G16" i="7"/>
  <c r="G22" i="7"/>
  <c r="H22" i="7"/>
  <c r="H19" i="7"/>
  <c r="H16" i="7"/>
  <c r="H13" i="7"/>
  <c r="H10" i="7"/>
  <c r="G19" i="7"/>
  <c r="G13" i="7"/>
  <c r="G10" i="7"/>
  <c r="K22" i="7"/>
  <c r="K19" i="7"/>
  <c r="K16" i="7"/>
  <c r="K13" i="7"/>
  <c r="K10" i="7"/>
  <c r="J22" i="7"/>
  <c r="L22" i="7" s="1"/>
  <c r="J19" i="7"/>
  <c r="J16" i="7"/>
  <c r="J13" i="7"/>
  <c r="J10" i="7"/>
  <c r="N164" i="7"/>
  <c r="M164" i="7"/>
  <c r="K164" i="7"/>
  <c r="J164" i="7"/>
  <c r="O162" i="7"/>
  <c r="L162" i="7"/>
  <c r="H162" i="7"/>
  <c r="I162" i="7" s="1"/>
  <c r="G162" i="7"/>
  <c r="O159" i="7"/>
  <c r="L159" i="7"/>
  <c r="I159" i="7"/>
  <c r="H159" i="7"/>
  <c r="G159" i="7"/>
  <c r="O156" i="7"/>
  <c r="L156" i="7"/>
  <c r="H156" i="7"/>
  <c r="G156" i="7"/>
  <c r="I156" i="7" s="1"/>
  <c r="O153" i="7"/>
  <c r="L153" i="7"/>
  <c r="H153" i="7"/>
  <c r="G153" i="7"/>
  <c r="I153" i="7" s="1"/>
  <c r="O150" i="7"/>
  <c r="L150" i="7"/>
  <c r="H150" i="7"/>
  <c r="G150" i="7"/>
  <c r="I150" i="7" s="1"/>
  <c r="O146" i="7"/>
  <c r="L146" i="7"/>
  <c r="H146" i="7"/>
  <c r="G146" i="7"/>
  <c r="I146" i="7" s="1"/>
  <c r="F146" i="7"/>
  <c r="F164" i="7" s="1"/>
  <c r="O142" i="7"/>
  <c r="L142" i="7"/>
  <c r="L164" i="7" s="1"/>
  <c r="H142" i="7"/>
  <c r="H164" i="7" s="1"/>
  <c r="G142" i="7"/>
  <c r="N115" i="7"/>
  <c r="K115" i="7"/>
  <c r="J115" i="7"/>
  <c r="L113" i="7"/>
  <c r="H113" i="7"/>
  <c r="G113" i="7"/>
  <c r="I113" i="7" s="1"/>
  <c r="L110" i="7"/>
  <c r="H110" i="7"/>
  <c r="G110" i="7"/>
  <c r="M110" i="7" s="1"/>
  <c r="O110" i="7" s="1"/>
  <c r="L107" i="7"/>
  <c r="H107" i="7"/>
  <c r="G107" i="7"/>
  <c r="I107" i="7" s="1"/>
  <c r="L104" i="7"/>
  <c r="I104" i="7"/>
  <c r="H104" i="7"/>
  <c r="G104" i="7"/>
  <c r="M104" i="7" s="1"/>
  <c r="O104" i="7" s="1"/>
  <c r="L101" i="7"/>
  <c r="H101" i="7"/>
  <c r="G101" i="7"/>
  <c r="L97" i="7"/>
  <c r="H97" i="7"/>
  <c r="I97" i="7" s="1"/>
  <c r="G97" i="7"/>
  <c r="F97" i="7"/>
  <c r="F115" i="7" s="1"/>
  <c r="L93" i="7"/>
  <c r="L115" i="7" s="1"/>
  <c r="H93" i="7"/>
  <c r="G93" i="7"/>
  <c r="N67" i="7"/>
  <c r="K67" i="7"/>
  <c r="J67" i="7"/>
  <c r="H67" i="7"/>
  <c r="G67" i="7"/>
  <c r="M65" i="7"/>
  <c r="O65" i="7" s="1"/>
  <c r="L65" i="7"/>
  <c r="I65" i="7"/>
  <c r="M62" i="7"/>
  <c r="O62" i="7" s="1"/>
  <c r="L62" i="7"/>
  <c r="I62" i="7"/>
  <c r="M59" i="7"/>
  <c r="O59" i="7" s="1"/>
  <c r="L59" i="7"/>
  <c r="I59" i="7"/>
  <c r="M56" i="7"/>
  <c r="O56" i="7" s="1"/>
  <c r="L56" i="7"/>
  <c r="I56" i="7"/>
  <c r="M53" i="7"/>
  <c r="M67" i="7" s="1"/>
  <c r="L53" i="7"/>
  <c r="I53" i="7"/>
  <c r="L49" i="7"/>
  <c r="L67" i="7" s="1"/>
  <c r="I49" i="7"/>
  <c r="I67" i="7" s="1"/>
  <c r="F49" i="7"/>
  <c r="F67" i="7" s="1"/>
  <c r="N24" i="7"/>
  <c r="M24" i="7"/>
  <c r="F24" i="7"/>
  <c r="O22" i="7"/>
  <c r="O19" i="7"/>
  <c r="O16" i="7"/>
  <c r="L16" i="7"/>
  <c r="O13" i="7"/>
  <c r="O10" i="7"/>
  <c r="I31" i="6"/>
  <c r="H31" i="6"/>
  <c r="J30" i="6"/>
  <c r="J29" i="6"/>
  <c r="J28" i="6"/>
  <c r="J27" i="6"/>
  <c r="J26" i="6"/>
  <c r="J25" i="6"/>
  <c r="G31" i="6"/>
  <c r="J24" i="6"/>
  <c r="E31" i="6"/>
  <c r="J23" i="6"/>
  <c r="J22" i="6"/>
  <c r="J21" i="6"/>
  <c r="I19" i="6"/>
  <c r="H19" i="6"/>
  <c r="H32" i="6" s="1"/>
  <c r="G19" i="6"/>
  <c r="E19" i="6"/>
  <c r="D19" i="6"/>
  <c r="J18" i="6"/>
  <c r="J17" i="6"/>
  <c r="J16" i="6"/>
  <c r="J15" i="6"/>
  <c r="O164" i="7" l="1"/>
  <c r="L13" i="7"/>
  <c r="G32" i="8"/>
  <c r="G21" i="9"/>
  <c r="G35" i="9" s="1"/>
  <c r="G32" i="6"/>
  <c r="H115" i="7"/>
  <c r="J23" i="8"/>
  <c r="G115" i="7"/>
  <c r="I101" i="7"/>
  <c r="I110" i="7"/>
  <c r="I142" i="7"/>
  <c r="I164" i="7" s="1"/>
  <c r="I16" i="7"/>
  <c r="H32" i="8"/>
  <c r="B35" i="9"/>
  <c r="C38" i="10"/>
  <c r="C39" i="10" s="1"/>
  <c r="F38" i="10"/>
  <c r="F39" i="10" s="1"/>
  <c r="G34" i="9"/>
  <c r="F35" i="9"/>
  <c r="J31" i="8"/>
  <c r="D32" i="8"/>
  <c r="I22" i="7"/>
  <c r="H24" i="7"/>
  <c r="I19" i="7"/>
  <c r="I13" i="7"/>
  <c r="G24" i="7"/>
  <c r="L19" i="7"/>
  <c r="K24" i="7"/>
  <c r="J24" i="7"/>
  <c r="L10" i="7"/>
  <c r="O24" i="7"/>
  <c r="G164" i="7"/>
  <c r="M101" i="7"/>
  <c r="O101" i="7" s="1"/>
  <c r="M107" i="7"/>
  <c r="O107" i="7" s="1"/>
  <c r="I10" i="7"/>
  <c r="I93" i="7"/>
  <c r="M113" i="7"/>
  <c r="O113" i="7" s="1"/>
  <c r="O53" i="7"/>
  <c r="O67" i="7" s="1"/>
  <c r="M97" i="7"/>
  <c r="I32" i="6"/>
  <c r="J19" i="6"/>
  <c r="E32" i="6"/>
  <c r="D31" i="6"/>
  <c r="J31" i="6" s="1"/>
  <c r="N164" i="5"/>
  <c r="M164" i="5"/>
  <c r="K164" i="5"/>
  <c r="J164" i="5"/>
  <c r="O162" i="5"/>
  <c r="L162" i="5"/>
  <c r="H162" i="5"/>
  <c r="G162" i="5"/>
  <c r="I162" i="5" s="1"/>
  <c r="O159" i="5"/>
  <c r="L159" i="5"/>
  <c r="H159" i="5"/>
  <c r="G159" i="5"/>
  <c r="I159" i="5" s="1"/>
  <c r="O156" i="5"/>
  <c r="L156" i="5"/>
  <c r="H156" i="5"/>
  <c r="I156" i="5" s="1"/>
  <c r="G156" i="5"/>
  <c r="O153" i="5"/>
  <c r="L153" i="5"/>
  <c r="H153" i="5"/>
  <c r="I153" i="5" s="1"/>
  <c r="G153" i="5"/>
  <c r="O150" i="5"/>
  <c r="L150" i="5"/>
  <c r="H150" i="5"/>
  <c r="G150" i="5"/>
  <c r="O146" i="5"/>
  <c r="L146" i="5"/>
  <c r="H146" i="5"/>
  <c r="G146" i="5"/>
  <c r="F146" i="5"/>
  <c r="F164" i="5" s="1"/>
  <c r="O142" i="5"/>
  <c r="L142" i="5"/>
  <c r="L164" i="5" s="1"/>
  <c r="H142" i="5"/>
  <c r="G142" i="5"/>
  <c r="N115" i="5"/>
  <c r="K115" i="5"/>
  <c r="J115" i="5"/>
  <c r="L113" i="5"/>
  <c r="H113" i="5"/>
  <c r="I113" i="5" s="1"/>
  <c r="G113" i="5"/>
  <c r="M113" i="5" s="1"/>
  <c r="O113" i="5" s="1"/>
  <c r="L110" i="5"/>
  <c r="H110" i="5"/>
  <c r="G110" i="5"/>
  <c r="M110" i="5" s="1"/>
  <c r="O110" i="5" s="1"/>
  <c r="L107" i="5"/>
  <c r="H107" i="5"/>
  <c r="G107" i="5"/>
  <c r="M107" i="5" s="1"/>
  <c r="O107" i="5" s="1"/>
  <c r="L104" i="5"/>
  <c r="H104" i="5"/>
  <c r="G104" i="5"/>
  <c r="M104" i="5" s="1"/>
  <c r="O104" i="5" s="1"/>
  <c r="L101" i="5"/>
  <c r="H101" i="5"/>
  <c r="I101" i="5" s="1"/>
  <c r="G101" i="5"/>
  <c r="M101" i="5" s="1"/>
  <c r="O101" i="5" s="1"/>
  <c r="L97" i="5"/>
  <c r="H97" i="5"/>
  <c r="G97" i="5"/>
  <c r="I97" i="5" s="1"/>
  <c r="F97" i="5"/>
  <c r="F115" i="5" s="1"/>
  <c r="L93" i="5"/>
  <c r="L115" i="5" s="1"/>
  <c r="H93" i="5"/>
  <c r="H115" i="5" s="1"/>
  <c r="G93" i="5"/>
  <c r="N67" i="5"/>
  <c r="K67" i="5"/>
  <c r="J67" i="5"/>
  <c r="H67" i="5"/>
  <c r="G67" i="5"/>
  <c r="F67" i="5"/>
  <c r="M65" i="5"/>
  <c r="O65" i="5" s="1"/>
  <c r="L65" i="5"/>
  <c r="I65" i="5"/>
  <c r="M62" i="5"/>
  <c r="O62" i="5" s="1"/>
  <c r="L62" i="5"/>
  <c r="I62" i="5"/>
  <c r="M59" i="5"/>
  <c r="O59" i="5" s="1"/>
  <c r="L59" i="5"/>
  <c r="I59" i="5"/>
  <c r="M56" i="5"/>
  <c r="O56" i="5" s="1"/>
  <c r="L56" i="5"/>
  <c r="I56" i="5"/>
  <c r="M53" i="5"/>
  <c r="L53" i="5"/>
  <c r="I53" i="5"/>
  <c r="L49" i="5"/>
  <c r="L67" i="5" s="1"/>
  <c r="I49" i="5"/>
  <c r="F49" i="5"/>
  <c r="N24" i="5"/>
  <c r="M24" i="5"/>
  <c r="K24" i="5"/>
  <c r="J24" i="5"/>
  <c r="F24" i="5"/>
  <c r="O22" i="5"/>
  <c r="L22" i="5"/>
  <c r="H22" i="5"/>
  <c r="G22" i="5"/>
  <c r="I22" i="5" s="1"/>
  <c r="O19" i="5"/>
  <c r="L19" i="5"/>
  <c r="H19" i="5"/>
  <c r="G19" i="5"/>
  <c r="O16" i="5"/>
  <c r="L16" i="5"/>
  <c r="H16" i="5"/>
  <c r="G16" i="5"/>
  <c r="G24" i="5" s="1"/>
  <c r="O13" i="5"/>
  <c r="L13" i="5"/>
  <c r="H13" i="5"/>
  <c r="G13" i="5"/>
  <c r="I13" i="5" s="1"/>
  <c r="O10" i="5"/>
  <c r="L10" i="5"/>
  <c r="L24" i="5" s="1"/>
  <c r="H10" i="5"/>
  <c r="H24" i="5" s="1"/>
  <c r="G10" i="5"/>
  <c r="I10" i="5" l="1"/>
  <c r="I19" i="5"/>
  <c r="I107" i="5"/>
  <c r="G115" i="5"/>
  <c r="O164" i="5"/>
  <c r="J32" i="8"/>
  <c r="I93" i="5"/>
  <c r="L24" i="7"/>
  <c r="O24" i="5"/>
  <c r="I67" i="5"/>
  <c r="M67" i="5"/>
  <c r="H164" i="5"/>
  <c r="I146" i="5"/>
  <c r="G164" i="5"/>
  <c r="I115" i="7"/>
  <c r="G38" i="10"/>
  <c r="G39" i="10" s="1"/>
  <c r="I24" i="7"/>
  <c r="O97" i="7"/>
  <c r="O115" i="7" s="1"/>
  <c r="M115" i="7"/>
  <c r="D32" i="6"/>
  <c r="J32" i="6" s="1"/>
  <c r="I16" i="5"/>
  <c r="I24" i="5" s="1"/>
  <c r="I150" i="5"/>
  <c r="I104" i="5"/>
  <c r="I110" i="5"/>
  <c r="O53" i="5"/>
  <c r="O67" i="5" s="1"/>
  <c r="M97" i="5"/>
  <c r="I142" i="5"/>
  <c r="I115" i="5" l="1"/>
  <c r="O97" i="5"/>
  <c r="O115" i="5" s="1"/>
  <c r="M115" i="5"/>
  <c r="I164" i="5"/>
  <c r="J15" i="4" l="1"/>
  <c r="J16" i="4"/>
  <c r="J17" i="4"/>
  <c r="J18" i="4"/>
  <c r="D19" i="4"/>
  <c r="E19" i="4"/>
  <c r="G19" i="4"/>
  <c r="H19" i="4"/>
  <c r="J19" i="4" s="1"/>
  <c r="I19" i="4"/>
  <c r="J21" i="4"/>
  <c r="J22" i="4"/>
  <c r="D23" i="4"/>
  <c r="D31" i="4" s="1"/>
  <c r="E23" i="4"/>
  <c r="I23" i="4"/>
  <c r="E24" i="4"/>
  <c r="J24" i="4" s="1"/>
  <c r="G25" i="4"/>
  <c r="J25" i="4"/>
  <c r="J26" i="4"/>
  <c r="G27" i="4"/>
  <c r="J27" i="4" s="1"/>
  <c r="E28" i="4"/>
  <c r="J29" i="4"/>
  <c r="I30" i="4"/>
  <c r="J30" i="4" s="1"/>
  <c r="H31" i="4"/>
  <c r="I31" i="4"/>
  <c r="E31" i="4" l="1"/>
  <c r="J23" i="4"/>
  <c r="I32" i="4"/>
  <c r="D32" i="4"/>
  <c r="E32" i="4"/>
  <c r="J28" i="4"/>
  <c r="H32" i="4"/>
  <c r="G31" i="4"/>
  <c r="G32" i="4" s="1"/>
  <c r="J32" i="4" l="1"/>
  <c r="J31" i="4"/>
</calcChain>
</file>

<file path=xl/sharedStrings.xml><?xml version="1.0" encoding="utf-8"?>
<sst xmlns="http://schemas.openxmlformats.org/spreadsheetml/2006/main" count="877" uniqueCount="162">
  <si>
    <t>Office of the Municipal Accountant</t>
  </si>
  <si>
    <t>Officer In-Charge</t>
  </si>
  <si>
    <t>Administrative Officer IV</t>
  </si>
  <si>
    <t>DEBBIE E. ALILAYA</t>
  </si>
  <si>
    <t>Certified Correct:</t>
  </si>
  <si>
    <t>Unutilized Balance</t>
  </si>
  <si>
    <t>Total Utilization</t>
  </si>
  <si>
    <t>Flood Control System</t>
  </si>
  <si>
    <t>Roads &amp; Bridges</t>
  </si>
  <si>
    <t>Other Property, Plant &amp; Eqpt</t>
  </si>
  <si>
    <t>Other Structures</t>
  </si>
  <si>
    <t>Machineries &amp; Equipment</t>
  </si>
  <si>
    <t>FRE/LRE</t>
  </si>
  <si>
    <t>OMOE</t>
  </si>
  <si>
    <t>Supplies &amp; Materials</t>
  </si>
  <si>
    <t>Fuel</t>
  </si>
  <si>
    <t>Medicines</t>
  </si>
  <si>
    <t>Utilization</t>
  </si>
  <si>
    <t>B.</t>
  </si>
  <si>
    <t>Total Funds Available</t>
  </si>
  <si>
    <t>Transfer/Grants/Augmentation</t>
  </si>
  <si>
    <t>Trust Fund</t>
  </si>
  <si>
    <t>Continuing Appropriation</t>
  </si>
  <si>
    <t>Current Appropriation</t>
  </si>
  <si>
    <t>Sources of Funds</t>
  </si>
  <si>
    <t>A.</t>
  </si>
  <si>
    <t>Fund  30%</t>
  </si>
  <si>
    <t>balances</t>
  </si>
  <si>
    <t>LGUs</t>
  </si>
  <si>
    <t>Response</t>
  </si>
  <si>
    <t>years</t>
  </si>
  <si>
    <t>other</t>
  </si>
  <si>
    <t>Appropriation</t>
  </si>
  <si>
    <t>Mitigation</t>
  </si>
  <si>
    <t>Quick</t>
  </si>
  <si>
    <t>PARTICULARS</t>
  </si>
  <si>
    <t>Total</t>
  </si>
  <si>
    <t xml:space="preserve">Prior </t>
  </si>
  <si>
    <t>From</t>
  </si>
  <si>
    <t>Continuing</t>
  </si>
  <si>
    <t>NDRRM</t>
  </si>
  <si>
    <t>LDRRMF</t>
  </si>
  <si>
    <r>
      <t xml:space="preserve">Municipality :   </t>
    </r>
    <r>
      <rPr>
        <b/>
        <i/>
        <u/>
        <sz val="9"/>
        <color theme="1"/>
        <rFont val="Trebuchet MS"/>
        <family val="2"/>
      </rPr>
      <t>MUNICIPALITY OF KAPALONG</t>
    </r>
  </si>
  <si>
    <t>As of December 31, 2017</t>
  </si>
  <si>
    <t>Report on Utilization of Disaster Risk Reduction &amp; Management Fund</t>
  </si>
  <si>
    <t>For the Year 2017</t>
  </si>
  <si>
    <t>Report on the Receipt and Utilization of Disaster Risk Reduction and Management (DRRM) Funds</t>
  </si>
  <si>
    <t>MUNICIPALITY OF KAPALONG</t>
  </si>
  <si>
    <t>STATEMENT OF DEBT SERVICE</t>
  </si>
  <si>
    <t>For the 4th quarter ending December 31, 2017</t>
  </si>
  <si>
    <t>Municipality of Kapalong</t>
  </si>
  <si>
    <t>Previous Payments</t>
  </si>
  <si>
    <t>Amount Due</t>
  </si>
  <si>
    <t>Date</t>
  </si>
  <si>
    <t xml:space="preserve">Name of </t>
  </si>
  <si>
    <t>Principal</t>
  </si>
  <si>
    <t>Made</t>
  </si>
  <si>
    <t>(Budget Year)</t>
  </si>
  <si>
    <t>Balance</t>
  </si>
  <si>
    <t>Creditor</t>
  </si>
  <si>
    <t>Contracted</t>
  </si>
  <si>
    <t>Project</t>
  </si>
  <si>
    <t>Term</t>
  </si>
  <si>
    <t>Amount</t>
  </si>
  <si>
    <t>Interest</t>
  </si>
  <si>
    <t>LBP - Davao</t>
  </si>
  <si>
    <t>7/1/2010</t>
  </si>
  <si>
    <t>Construction / Development of Town Square</t>
  </si>
  <si>
    <t>GF</t>
  </si>
  <si>
    <t xml:space="preserve">10 years w/ one </t>
  </si>
  <si>
    <t>Lending Center</t>
  </si>
  <si>
    <t>year grace period</t>
  </si>
  <si>
    <t>Construction of Legislative Building</t>
  </si>
  <si>
    <t>10 years w/ one</t>
  </si>
  <si>
    <t>Construction of School Building</t>
  </si>
  <si>
    <t>Construction of Slaughterhouse</t>
  </si>
  <si>
    <t>20%</t>
  </si>
  <si>
    <t>Improvement of Urban Drainage</t>
  </si>
  <si>
    <t>Certified Correct :</t>
  </si>
  <si>
    <t>Noted by:</t>
  </si>
  <si>
    <t>MARIA THERESA R. TIMBOL</t>
  </si>
  <si>
    <t>Municipal Mayor</t>
  </si>
  <si>
    <t>BUDGET YEAR 2016</t>
  </si>
  <si>
    <t>7/9/2009</t>
  </si>
  <si>
    <t xml:space="preserve">Heavy </t>
  </si>
  <si>
    <t>7 years w/ 2 qtrs.</t>
  </si>
  <si>
    <t>Equipment</t>
  </si>
  <si>
    <t>grace period</t>
  </si>
  <si>
    <t>9% Interest Rate</t>
  </si>
  <si>
    <t>Kapalong</t>
  </si>
  <si>
    <t>Town Square</t>
  </si>
  <si>
    <t>Legislative</t>
  </si>
  <si>
    <t>Building</t>
  </si>
  <si>
    <t>School</t>
  </si>
  <si>
    <t>Slaughterhouse</t>
  </si>
  <si>
    <t>Urban</t>
  </si>
  <si>
    <t>Drainage</t>
  </si>
  <si>
    <t>FREDESWINDA B. ESTRADA, CPA</t>
  </si>
  <si>
    <t>EDGARDO L. TIMBOL</t>
  </si>
  <si>
    <t>Municipal Accountant</t>
  </si>
  <si>
    <t>BUDGET YEAR 2015</t>
  </si>
  <si>
    <t>10/02/2008</t>
  </si>
  <si>
    <t>IRA</t>
  </si>
  <si>
    <t>7 years</t>
  </si>
  <si>
    <t>Monetization</t>
  </si>
  <si>
    <t>9.125% Interest</t>
  </si>
  <si>
    <t>Rate</t>
  </si>
  <si>
    <t>As of March 31, 2018</t>
  </si>
  <si>
    <t>For the 1st quarter ending March 31, 2018</t>
  </si>
  <si>
    <t>For the Year 2018</t>
  </si>
  <si>
    <t>As of June 30, 2018</t>
  </si>
  <si>
    <t xml:space="preserve"> </t>
  </si>
  <si>
    <t>FDP Form 8 - Local Disaster Risk Reduction and Management Fund Utilization</t>
  </si>
  <si>
    <t>(Commission on Audit Form)</t>
  </si>
  <si>
    <t>LOCAL DISASTER RISK REDUCTION AND MANAGEMENT FUND UTILIZATION</t>
  </si>
  <si>
    <t>As of September 30, 2021</t>
  </si>
  <si>
    <t>Particulars</t>
  </si>
  <si>
    <t>LDRRM Fund</t>
  </si>
  <si>
    <t>NDRRM Fund</t>
  </si>
  <si>
    <t>From Other LGUs</t>
  </si>
  <si>
    <t>From Other
Sources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</si>
  <si>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</si>
  <si>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</si>
  <si>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</si>
  <si>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</si>
  <si>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</si>
  <si>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</si>
  <si>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            (Year 1)</t>
  </si>
  <si>
    <t xml:space="preserve">                   (Year 2)</t>
  </si>
  <si>
    <t xml:space="preserve">                   (Year 3)</t>
  </si>
  <si>
    <t xml:space="preserve">                   (Year 4)</t>
  </si>
  <si>
    <t xml:space="preserve">                   (Year 5)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</si>
  <si>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</si>
  <si>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</si>
  <si>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</si>
  <si>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</si>
  <si>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Fuel</t>
  </si>
  <si>
    <t xml:space="preserve">     Supplies and Materials</t>
  </si>
  <si>
    <t xml:space="preserve">     OMOE</t>
  </si>
  <si>
    <t xml:space="preserve">     Water Supply System</t>
  </si>
  <si>
    <t xml:space="preserve">     Road Networks</t>
  </si>
  <si>
    <t xml:space="preserve">     Other Structures</t>
  </si>
  <si>
    <t xml:space="preserve">     Flood Control System</t>
  </si>
  <si>
    <t xml:space="preserve">    Equipment</t>
  </si>
  <si>
    <t xml:space="preserve">    Rescue Vehicle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</si>
  <si>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</si>
  <si>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</si>
  <si>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</si>
  <si>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the data or information contained in this document.
</t>
  </si>
  <si>
    <t>Local Accountant</t>
  </si>
  <si>
    <t>As of December 31, 2022</t>
  </si>
  <si>
    <t xml:space="preserve">                   (Year 1)2021</t>
  </si>
  <si>
    <t xml:space="preserve">                   (Year 2)2020</t>
  </si>
  <si>
    <t xml:space="preserve">                   (Year 3)2019</t>
  </si>
  <si>
    <t xml:space="preserve">                   (Year 4)2018</t>
  </si>
  <si>
    <t xml:space="preserve">                   (Year 5)2017</t>
  </si>
  <si>
    <t xml:space="preserve">    Land Improvements</t>
  </si>
  <si>
    <t xml:space="preserve">     Power Supply System</t>
  </si>
  <si>
    <t xml:space="preserve">     Other Property, Plant &amp; Equipment</t>
  </si>
  <si>
    <t xml:space="preserve">    Communication Equipment</t>
  </si>
  <si>
    <t xml:space="preserve">    Disaster Response &amp; Rescue Equipment</t>
  </si>
  <si>
    <t xml:space="preserve">    Watercrafts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</si>
</sst>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9"/>
      <name val="Trebuchet MS"/>
      <family val="2"/>
    </font>
    <font>
      <b/>
      <i/>
      <u/>
      <sz val="9"/>
      <color theme="1"/>
      <name val="Trebuchet MS"/>
      <family val="2"/>
    </font>
    <font>
      <sz val="10"/>
      <name val="Arial"/>
      <family val="2"/>
    </font>
    <font>
      <sz val="8"/>
      <name val="Cambria"/>
      <family val="1"/>
    </font>
    <font>
      <sz val="8"/>
      <color theme="1"/>
      <name val="Cambria"/>
      <family val="1"/>
    </font>
    <font>
      <sz val="7"/>
      <name val="Comic Sans MS"/>
      <family val="4"/>
    </font>
    <font>
      <sz val="7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161">
    <xf numFmtId="0" fontId="0" fillId="0" borderId="0" xfId="0"/>
    <xf numFmtId="0" fontId="2" fillId="0" borderId="0" xfId="0" applyFont="1"/>
    <xf numFmtId="43" fontId="2" fillId="0" borderId="0" xfId="1" applyFont="1"/>
    <xf numFmtId="39" fontId="2" fillId="0" borderId="0" xfId="0" applyNumberFormat="1" applyFont="1"/>
    <xf numFmtId="43" fontId="2" fillId="0" borderId="0" xfId="1" applyFont="1" applyFill="1"/>
    <xf numFmtId="39" fontId="2" fillId="0" borderId="1" xfId="1" applyNumberFormat="1" applyFont="1" applyBorder="1"/>
    <xf numFmtId="39" fontId="2" fillId="0" borderId="2" xfId="1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39" fontId="3" fillId="0" borderId="2" xfId="1" applyNumberFormat="1" applyFont="1" applyBorder="1"/>
    <xf numFmtId="39" fontId="2" fillId="0" borderId="1" xfId="1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39" fontId="2" fillId="0" borderId="2" xfId="1" applyNumberFormat="1" applyFont="1" applyBorder="1"/>
    <xf numFmtId="39" fontId="2" fillId="0" borderId="9" xfId="1" applyNumberFormat="1" applyFont="1" applyFill="1" applyBorder="1"/>
    <xf numFmtId="39" fontId="2" fillId="0" borderId="9" xfId="1" applyNumberFormat="1" applyFont="1" applyBorder="1"/>
    <xf numFmtId="0" fontId="2" fillId="0" borderId="10" xfId="0" applyFont="1" applyBorder="1"/>
    <xf numFmtId="0" fontId="2" fillId="0" borderId="11" xfId="0" applyFont="1" applyBorder="1"/>
    <xf numFmtId="39" fontId="2" fillId="0" borderId="12" xfId="1" applyNumberFormat="1" applyFont="1" applyFill="1" applyBorder="1"/>
    <xf numFmtId="39" fontId="2" fillId="0" borderId="12" xfId="1" applyNumberFormat="1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6" xfId="0" applyFont="1" applyBorder="1" applyAlignment="1">
      <alignment wrapText="1"/>
    </xf>
    <xf numFmtId="39" fontId="3" fillId="0" borderId="12" xfId="1" applyNumberFormat="1" applyFont="1" applyBorder="1"/>
    <xf numFmtId="39" fontId="2" fillId="0" borderId="8" xfId="1" applyNumberFormat="1" applyFont="1" applyBorder="1"/>
    <xf numFmtId="39" fontId="2" fillId="0" borderId="6" xfId="1" applyNumberFormat="1" applyFont="1" applyBorder="1"/>
    <xf numFmtId="0" fontId="2" fillId="0" borderId="14" xfId="0" applyFont="1" applyBorder="1"/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21" applyFont="1" applyAlignment="1">
      <alignment horizontal="center"/>
    </xf>
    <xf numFmtId="0" fontId="6" fillId="0" borderId="9" xfId="21" applyFont="1" applyFill="1" applyBorder="1" applyAlignment="1">
      <alignment horizontal="center"/>
    </xf>
    <xf numFmtId="0" fontId="6" fillId="0" borderId="9" xfId="21" applyFont="1" applyBorder="1" applyAlignment="1">
      <alignment horizontal="center"/>
    </xf>
    <xf numFmtId="0" fontId="6" fillId="0" borderId="12" xfId="21" applyFont="1" applyBorder="1" applyAlignment="1">
      <alignment horizontal="center"/>
    </xf>
    <xf numFmtId="0" fontId="6" fillId="0" borderId="2" xfId="21" applyFont="1" applyBorder="1" applyAlignment="1">
      <alignment horizontal="center"/>
    </xf>
    <xf numFmtId="0" fontId="6" fillId="0" borderId="1" xfId="21" applyFont="1" applyBorder="1" applyAlignment="1">
      <alignment horizontal="center"/>
    </xf>
    <xf numFmtId="0" fontId="6" fillId="0" borderId="8" xfId="21" applyFont="1" applyBorder="1" applyAlignment="1">
      <alignment horizontal="center"/>
    </xf>
    <xf numFmtId="0" fontId="6" fillId="0" borderId="12" xfId="21" applyFont="1" applyBorder="1"/>
    <xf numFmtId="43" fontId="6" fillId="0" borderId="12" xfId="4" applyFont="1" applyBorder="1"/>
    <xf numFmtId="0" fontId="6" fillId="0" borderId="12" xfId="21" quotePrefix="1" applyFont="1" applyBorder="1"/>
    <xf numFmtId="43" fontId="6" fillId="0" borderId="12" xfId="4" applyFont="1" applyFill="1" applyBorder="1"/>
    <xf numFmtId="0" fontId="6" fillId="0" borderId="1" xfId="21" applyFont="1" applyBorder="1"/>
    <xf numFmtId="0" fontId="6" fillId="0" borderId="6" xfId="21" applyFont="1" applyBorder="1"/>
    <xf numFmtId="43" fontId="6" fillId="0" borderId="1" xfId="4" applyFont="1" applyBorder="1"/>
    <xf numFmtId="0" fontId="6" fillId="0" borderId="0" xfId="21" applyFont="1" applyFill="1" applyBorder="1"/>
    <xf numFmtId="0" fontId="6" fillId="0" borderId="0" xfId="21" applyFont="1"/>
    <xf numFmtId="43" fontId="6" fillId="0" borderId="0" xfId="21" applyNumberFormat="1" applyFont="1"/>
    <xf numFmtId="0" fontId="8" fillId="0" borderId="0" xfId="21" applyFont="1" applyAlignment="1">
      <alignment horizontal="center"/>
    </xf>
    <xf numFmtId="0" fontId="8" fillId="0" borderId="9" xfId="21" applyFont="1" applyFill="1" applyBorder="1" applyAlignment="1">
      <alignment horizontal="center"/>
    </xf>
    <xf numFmtId="0" fontId="8" fillId="0" borderId="9" xfId="21" applyFont="1" applyBorder="1" applyAlignment="1">
      <alignment horizontal="center"/>
    </xf>
    <xf numFmtId="0" fontId="8" fillId="0" borderId="12" xfId="21" applyFont="1" applyBorder="1" applyAlignment="1">
      <alignment horizontal="center"/>
    </xf>
    <xf numFmtId="0" fontId="8" fillId="0" borderId="2" xfId="21" applyFont="1" applyBorder="1" applyAlignment="1">
      <alignment horizontal="center"/>
    </xf>
    <xf numFmtId="0" fontId="8" fillId="0" borderId="1" xfId="21" applyFont="1" applyBorder="1" applyAlignment="1">
      <alignment horizontal="center"/>
    </xf>
    <xf numFmtId="0" fontId="8" fillId="0" borderId="8" xfId="21" applyFont="1" applyBorder="1" applyAlignment="1">
      <alignment horizontal="center"/>
    </xf>
    <xf numFmtId="0" fontId="8" fillId="0" borderId="12" xfId="21" applyFont="1" applyBorder="1"/>
    <xf numFmtId="43" fontId="8" fillId="0" borderId="12" xfId="4" applyFont="1" applyBorder="1"/>
    <xf numFmtId="0" fontId="8" fillId="0" borderId="12" xfId="21" quotePrefix="1" applyFont="1" applyBorder="1"/>
    <xf numFmtId="9" fontId="8" fillId="0" borderId="12" xfId="21" quotePrefix="1" applyNumberFormat="1" applyFont="1" applyBorder="1"/>
    <xf numFmtId="43" fontId="8" fillId="0" borderId="12" xfId="4" applyFont="1" applyFill="1" applyBorder="1"/>
    <xf numFmtId="0" fontId="8" fillId="0" borderId="1" xfId="21" applyFont="1" applyBorder="1"/>
    <xf numFmtId="0" fontId="8" fillId="0" borderId="6" xfId="21" applyFont="1" applyBorder="1"/>
    <xf numFmtId="43" fontId="8" fillId="0" borderId="1" xfId="4" applyFont="1" applyBorder="1"/>
    <xf numFmtId="0" fontId="8" fillId="0" borderId="0" xfId="21" applyFont="1" applyFill="1" applyBorder="1"/>
    <xf numFmtId="0" fontId="8" fillId="0" borderId="0" xfId="21" applyFont="1"/>
    <xf numFmtId="43" fontId="8" fillId="0" borderId="0" xfId="21" applyNumberFormat="1" applyFont="1"/>
    <xf numFmtId="0" fontId="8" fillId="0" borderId="9" xfId="21" applyFont="1" applyBorder="1"/>
    <xf numFmtId="0" fontId="8" fillId="0" borderId="9" xfId="21" quotePrefix="1" applyFont="1" applyBorder="1"/>
    <xf numFmtId="43" fontId="8" fillId="0" borderId="9" xfId="4" applyFont="1" applyBorder="1"/>
    <xf numFmtId="14" fontId="8" fillId="0" borderId="12" xfId="21" quotePrefix="1" applyNumberFormat="1" applyFont="1" applyBorder="1"/>
    <xf numFmtId="14" fontId="8" fillId="0" borderId="12" xfId="21" applyNumberFormat="1" applyFont="1" applyBorder="1"/>
    <xf numFmtId="0" fontId="9" fillId="0" borderId="0" xfId="0" applyFont="1"/>
    <xf numFmtId="0" fontId="8" fillId="0" borderId="0" xfId="21" applyFont="1" applyAlignment="1">
      <alignment horizontal="center"/>
    </xf>
    <xf numFmtId="0" fontId="6" fillId="0" borderId="0" xfId="2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9" fontId="3" fillId="0" borderId="1" xfId="1" applyNumberFormat="1" applyFont="1" applyFill="1" applyBorder="1"/>
    <xf numFmtId="39" fontId="3" fillId="0" borderId="9" xfId="1" applyNumberFormat="1" applyFont="1" applyFill="1" applyBorder="1"/>
    <xf numFmtId="39" fontId="3" fillId="0" borderId="12" xfId="1" applyNumberFormat="1" applyFont="1" applyFill="1" applyBorder="1"/>
    <xf numFmtId="39" fontId="3" fillId="0" borderId="2" xfId="1" applyNumberFormat="1" applyFont="1" applyFill="1" applyBorder="1"/>
    <xf numFmtId="0" fontId="11" fillId="0" borderId="0" xfId="0" applyFont="1"/>
    <xf numFmtId="0" fontId="10" fillId="0" borderId="0" xfId="0" applyFont="1" applyAlignment="1"/>
    <xf numFmtId="0" fontId="11" fillId="0" borderId="1" xfId="0" applyFont="1" applyBorder="1" applyAlignment="1"/>
    <xf numFmtId="43" fontId="11" fillId="0" borderId="1" xfId="1" applyFont="1" applyBorder="1"/>
    <xf numFmtId="0" fontId="11" fillId="0" borderId="1" xfId="0" applyFont="1" applyBorder="1"/>
    <xf numFmtId="43" fontId="13" fillId="0" borderId="1" xfId="1" applyFont="1" applyBorder="1"/>
    <xf numFmtId="0" fontId="11" fillId="0" borderId="1" xfId="0" applyFont="1" applyBorder="1" applyAlignment="1">
      <alignment vertical="top" wrapText="1"/>
    </xf>
    <xf numFmtId="43" fontId="11" fillId="0" borderId="1" xfId="1" applyFont="1" applyBorder="1" applyAlignment="1">
      <alignment vertical="center" wrapText="1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43" fontId="11" fillId="0" borderId="1" xfId="1" applyFont="1" applyBorder="1" applyAlignment="1"/>
    <xf numFmtId="43" fontId="13" fillId="0" borderId="1" xfId="1" applyFont="1" applyBorder="1" applyAlignment="1"/>
    <xf numFmtId="43" fontId="13" fillId="0" borderId="1" xfId="1" applyFont="1" applyFill="1" applyBorder="1" applyAlignment="1"/>
    <xf numFmtId="43" fontId="13" fillId="0" borderId="1" xfId="1" applyFont="1" applyFill="1" applyBorder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/>
    <xf numFmtId="0" fontId="11" fillId="0" borderId="0" xfId="0" applyFont="1" applyAlignment="1">
      <alignment horizontal="left" vertical="top" wrapText="1"/>
    </xf>
    <xf numFmtId="43" fontId="11" fillId="0" borderId="1" xfId="1" applyFont="1" applyFill="1" applyBorder="1"/>
    <xf numFmtId="43" fontId="11" fillId="0" borderId="1" xfId="1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21" applyFont="1" applyAlignment="1">
      <alignment horizontal="center"/>
    </xf>
    <xf numFmtId="0" fontId="6" fillId="0" borderId="11" xfId="21" applyFont="1" applyBorder="1" applyAlignment="1">
      <alignment horizontal="center"/>
    </xf>
    <xf numFmtId="0" fontId="6" fillId="0" borderId="10" xfId="21" applyFont="1" applyBorder="1" applyAlignment="1">
      <alignment horizontal="center"/>
    </xf>
    <xf numFmtId="0" fontId="6" fillId="0" borderId="14" xfId="21" applyFont="1" applyBorder="1" applyAlignment="1">
      <alignment horizontal="center"/>
    </xf>
    <xf numFmtId="0" fontId="6" fillId="0" borderId="11" xfId="21" applyFont="1" applyBorder="1" applyAlignment="1">
      <alignment horizontal="center" wrapText="1"/>
    </xf>
    <xf numFmtId="0" fontId="7" fillId="0" borderId="10" xfId="0" applyFont="1" applyBorder="1"/>
    <xf numFmtId="0" fontId="7" fillId="0" borderId="14" xfId="0" applyFont="1" applyBorder="1"/>
    <xf numFmtId="0" fontId="8" fillId="0" borderId="0" xfId="21" applyFont="1" applyAlignment="1">
      <alignment horizontal="center"/>
    </xf>
    <xf numFmtId="0" fontId="6" fillId="0" borderId="5" xfId="21" applyFont="1" applyBorder="1" applyAlignment="1">
      <alignment horizontal="center"/>
    </xf>
    <xf numFmtId="0" fontId="6" fillId="0" borderId="4" xfId="21" applyFont="1" applyBorder="1" applyAlignment="1">
      <alignment horizontal="center"/>
    </xf>
    <xf numFmtId="0" fontId="6" fillId="0" borderId="3" xfId="21" applyFont="1" applyBorder="1" applyAlignment="1">
      <alignment horizontal="center"/>
    </xf>
    <xf numFmtId="0" fontId="6" fillId="0" borderId="5" xfId="21" applyFont="1" applyBorder="1" applyAlignment="1">
      <alignment horizontal="center" wrapText="1"/>
    </xf>
    <xf numFmtId="0" fontId="6" fillId="0" borderId="4" xfId="21" applyFont="1" applyBorder="1" applyAlignment="1">
      <alignment horizontal="center" wrapText="1"/>
    </xf>
    <xf numFmtId="0" fontId="6" fillId="0" borderId="3" xfId="21" applyFont="1" applyBorder="1" applyAlignment="1">
      <alignment horizontal="center" wrapText="1"/>
    </xf>
    <xf numFmtId="0" fontId="6" fillId="0" borderId="12" xfId="21" applyFont="1" applyBorder="1" applyAlignment="1">
      <alignment horizontal="left" vertical="top" wrapText="1"/>
    </xf>
    <xf numFmtId="0" fontId="6" fillId="0" borderId="12" xfId="21" applyFont="1" applyBorder="1" applyAlignment="1">
      <alignment vertical="top" wrapText="1"/>
    </xf>
    <xf numFmtId="0" fontId="6" fillId="0" borderId="2" xfId="21" applyFont="1" applyBorder="1" applyAlignment="1">
      <alignment horizontal="left" vertical="top" wrapText="1"/>
    </xf>
    <xf numFmtId="0" fontId="8" fillId="0" borderId="11" xfId="21" applyFont="1" applyBorder="1" applyAlignment="1">
      <alignment horizontal="center"/>
    </xf>
    <xf numFmtId="0" fontId="8" fillId="0" borderId="10" xfId="21" applyFont="1" applyBorder="1" applyAlignment="1">
      <alignment horizontal="center"/>
    </xf>
    <xf numFmtId="0" fontId="8" fillId="0" borderId="14" xfId="21" applyFont="1" applyBorder="1" applyAlignment="1">
      <alignment horizontal="center"/>
    </xf>
    <xf numFmtId="0" fontId="8" fillId="0" borderId="11" xfId="21" applyFont="1" applyBorder="1" applyAlignment="1">
      <alignment horizontal="center" wrapText="1"/>
    </xf>
    <xf numFmtId="0" fontId="9" fillId="0" borderId="10" xfId="0" applyFont="1" applyBorder="1"/>
    <xf numFmtId="0" fontId="9" fillId="0" borderId="14" xfId="0" applyFont="1" applyBorder="1"/>
    <xf numFmtId="0" fontId="8" fillId="0" borderId="5" xfId="21" applyFont="1" applyBorder="1" applyAlignment="1">
      <alignment horizontal="center"/>
    </xf>
    <xf numFmtId="0" fontId="8" fillId="0" borderId="4" xfId="21" applyFont="1" applyBorder="1" applyAlignment="1">
      <alignment horizontal="center"/>
    </xf>
    <xf numFmtId="0" fontId="8" fillId="0" borderId="3" xfId="21" applyFont="1" applyBorder="1" applyAlignment="1">
      <alignment horizontal="center"/>
    </xf>
    <xf numFmtId="0" fontId="8" fillId="0" borderId="5" xfId="21" applyFont="1" applyBorder="1" applyAlignment="1">
      <alignment horizontal="center" wrapText="1"/>
    </xf>
    <xf numFmtId="0" fontId="8" fillId="0" borderId="4" xfId="21" applyFont="1" applyBorder="1" applyAlignment="1">
      <alignment horizontal="center" wrapText="1"/>
    </xf>
    <xf numFmtId="0" fontId="8" fillId="0" borderId="3" xfId="21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</cellXfs>
  <cellStyles count="23">
    <cellStyle name="Comma" xfId="1" builtinId="3"/>
    <cellStyle name="Comma 2" xfId="2"/>
    <cellStyle name="Comma 3" xfId="3"/>
    <cellStyle name="Comma 3 2" xfId="4"/>
    <cellStyle name="Comma 4" xfId="5"/>
    <cellStyle name="Currency 10" xfId="6"/>
    <cellStyle name="Currency 10 2" xfId="7"/>
    <cellStyle name="Currency 2" xfId="8"/>
    <cellStyle name="Currency 3" xfId="9"/>
    <cellStyle name="Currency 4" xfId="10"/>
    <cellStyle name="Currency 5" xfId="11"/>
    <cellStyle name="Currency 5 2" xfId="12"/>
    <cellStyle name="Currency 6" xfId="13"/>
    <cellStyle name="Currency 6 2" xfId="14"/>
    <cellStyle name="Currency 7" xfId="15"/>
    <cellStyle name="Currency 7 2" xfId="16"/>
    <cellStyle name="Currency 8" xfId="17"/>
    <cellStyle name="Currency 8 2" xfId="18"/>
    <cellStyle name="Currency 9" xfId="19"/>
    <cellStyle name="Currency 9 2" xfId="20"/>
    <cellStyle name="Normal" xfId="0" builtinId="0"/>
    <cellStyle name="Normal 2" xfId="21"/>
    <cellStyle name="Normal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478692</xdr:colOff>
      <xdr:row>40</xdr:row>
      <xdr:rowOff>0</xdr:rowOff>
    </xdr:from>
    <xdr:to>
      <xdr:col>1</xdr:col>
      <xdr:colOff>444500</xdr:colOff>
      <xdr:row>40</xdr:row>
      <xdr:rowOff>0</xdr:rowOff>
    </xdr:to>
    <xdr:cxnSp macro="">
      <xdr:nvCxnSpPr>
        <xdr:cNvPr id="2" name="Straight Connector 1"/>
        <xdr:cNvCxnSpPr/>
      </xdr:nvCxnSpPr>
      <xdr:spPr>
        <a:xfrm>
          <a:off x="478692" y="6858000"/>
          <a:ext cx="1851758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478692</xdr:colOff>
      <xdr:row>43</xdr:row>
      <xdr:rowOff>0</xdr:rowOff>
    </xdr:from>
    <xdr:to>
      <xdr:col>1</xdr:col>
      <xdr:colOff>444500</xdr:colOff>
      <xdr:row>43</xdr:row>
      <xdr:rowOff>0</xdr:rowOff>
    </xdr:to>
    <xdr:cxnSp macro="">
      <xdr:nvCxnSpPr>
        <xdr:cNvPr id="2" name="Straight Connector 1"/>
        <xdr:cNvCxnSpPr/>
      </xdr:nvCxnSpPr>
      <xdr:spPr>
        <a:xfrm>
          <a:off x="478692" y="7067550"/>
          <a:ext cx="2204183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opLeftCell="A28" zoomScale="130" zoomScaleNormal="130" workbookViewId="0">
      <selection activeCell="C28" sqref="C28"/>
    </sheetView>
  </sheetViews>
  <sheetFormatPr defaultRowHeight="15" x14ac:dyDescent="0.25"/>
  <cols>
    <col min="1" max="1" width="1.5703125" customWidth="1"/>
    <col min="2" max="2" width="1.85546875" customWidth="1"/>
    <col min="3" max="3" width="26.140625" customWidth="1"/>
    <col min="4" max="4" width="12" customWidth="1"/>
    <col min="5" max="5" width="11.85546875" customWidth="1"/>
    <col min="6" max="6" width="3" customWidth="1"/>
    <col min="7" max="7" width="11.85546875" customWidth="1"/>
    <col min="8" max="8" width="9.85546875" customWidth="1"/>
    <col min="9" max="10" width="12.7109375" customWidth="1"/>
    <col min="14" max="14" width="13" customWidth="1"/>
  </cols>
  <sheetData>
    <row r="1" spans="1:10" ht="16.5" x14ac:dyDescent="0.35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6.5" x14ac:dyDescent="0.35">
      <c r="A2" s="120" t="s">
        <v>46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6.5" x14ac:dyDescent="0.35">
      <c r="A3" s="120" t="s">
        <v>45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6.5" x14ac:dyDescent="0.3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6.5" x14ac:dyDescent="0.35">
      <c r="A5" s="120" t="s">
        <v>43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6.5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6.5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6.5" x14ac:dyDescent="0.35">
      <c r="A8" s="1" t="s">
        <v>42</v>
      </c>
      <c r="B8" s="1"/>
      <c r="C8" s="1"/>
      <c r="D8" s="1"/>
      <c r="E8" s="1"/>
      <c r="F8" s="1"/>
      <c r="G8" s="1"/>
      <c r="H8" s="1"/>
      <c r="I8" s="1"/>
      <c r="J8" s="1"/>
    </row>
    <row r="9" spans="1:10" ht="16.5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 x14ac:dyDescent="0.35">
      <c r="A10" s="19"/>
      <c r="B10" s="18"/>
      <c r="C10" s="28"/>
      <c r="D10" s="112" t="s">
        <v>41</v>
      </c>
      <c r="E10" s="113"/>
      <c r="F10" s="114" t="s">
        <v>40</v>
      </c>
      <c r="G10" s="38" t="s">
        <v>39</v>
      </c>
      <c r="H10" s="38" t="s">
        <v>38</v>
      </c>
      <c r="I10" s="38" t="s">
        <v>37</v>
      </c>
      <c r="J10" s="38" t="s">
        <v>36</v>
      </c>
    </row>
    <row r="11" spans="1:10" ht="16.5" x14ac:dyDescent="0.35">
      <c r="A11" s="117" t="s">
        <v>35</v>
      </c>
      <c r="B11" s="118"/>
      <c r="C11" s="119"/>
      <c r="D11" s="38" t="s">
        <v>34</v>
      </c>
      <c r="E11" s="38" t="s">
        <v>33</v>
      </c>
      <c r="F11" s="115"/>
      <c r="G11" s="34" t="s">
        <v>32</v>
      </c>
      <c r="H11" s="34" t="s">
        <v>31</v>
      </c>
      <c r="I11" s="34" t="s">
        <v>30</v>
      </c>
      <c r="J11" s="34"/>
    </row>
    <row r="12" spans="1:10" ht="16.5" x14ac:dyDescent="0.35">
      <c r="A12" s="37"/>
      <c r="B12" s="36"/>
      <c r="C12" s="35"/>
      <c r="D12" s="34" t="s">
        <v>29</v>
      </c>
      <c r="E12" s="34"/>
      <c r="F12" s="115"/>
      <c r="G12" s="34"/>
      <c r="H12" s="34" t="s">
        <v>28</v>
      </c>
      <c r="I12" s="34" t="s">
        <v>27</v>
      </c>
      <c r="J12" s="34"/>
    </row>
    <row r="13" spans="1:10" ht="16.5" x14ac:dyDescent="0.35">
      <c r="A13" s="33"/>
      <c r="B13" s="32"/>
      <c r="C13" s="31"/>
      <c r="D13" s="30" t="s">
        <v>26</v>
      </c>
      <c r="E13" s="30">
        <v>0.7</v>
      </c>
      <c r="F13" s="116"/>
      <c r="G13" s="29"/>
      <c r="H13" s="29"/>
      <c r="I13" s="29"/>
      <c r="J13" s="29"/>
    </row>
    <row r="14" spans="1:10" ht="16.5" x14ac:dyDescent="0.35">
      <c r="A14" s="9" t="s">
        <v>25</v>
      </c>
      <c r="B14" s="8" t="s">
        <v>24</v>
      </c>
      <c r="C14" s="7"/>
      <c r="D14" s="15"/>
      <c r="E14" s="15"/>
      <c r="F14" s="15"/>
      <c r="G14" s="15"/>
      <c r="H14" s="15"/>
      <c r="I14" s="15"/>
      <c r="J14" s="15"/>
    </row>
    <row r="15" spans="1:10" ht="16.5" x14ac:dyDescent="0.35">
      <c r="A15" s="14"/>
      <c r="B15" s="13"/>
      <c r="C15" s="12" t="s">
        <v>23</v>
      </c>
      <c r="D15" s="5">
        <v>4279401</v>
      </c>
      <c r="E15" s="5">
        <v>9985269</v>
      </c>
      <c r="F15" s="5"/>
      <c r="G15" s="5"/>
      <c r="H15" s="5"/>
      <c r="I15" s="5"/>
      <c r="J15" s="5">
        <f>SUM(D15:I15)</f>
        <v>14264670</v>
      </c>
    </row>
    <row r="16" spans="1:10" ht="16.5" x14ac:dyDescent="0.35">
      <c r="A16" s="19"/>
      <c r="B16" s="18"/>
      <c r="C16" s="28" t="s">
        <v>22</v>
      </c>
      <c r="D16" s="17"/>
      <c r="E16" s="17"/>
      <c r="F16" s="17"/>
      <c r="G16" s="17">
        <v>3542168.3</v>
      </c>
      <c r="H16" s="17"/>
      <c r="I16" s="17"/>
      <c r="J16" s="5">
        <f>SUM(D16:I16)</f>
        <v>3542168.3</v>
      </c>
    </row>
    <row r="17" spans="1:10" ht="16.5" x14ac:dyDescent="0.35">
      <c r="A17" s="14"/>
      <c r="B17" s="13"/>
      <c r="C17" s="12" t="s">
        <v>21</v>
      </c>
      <c r="D17" s="27"/>
      <c r="E17" s="5"/>
      <c r="F17" s="5"/>
      <c r="G17" s="5"/>
      <c r="H17" s="5"/>
      <c r="I17" s="26">
        <v>5616120.1299999999</v>
      </c>
      <c r="J17" s="5">
        <f>SUM(D17:I17)</f>
        <v>5616120.1299999999</v>
      </c>
    </row>
    <row r="18" spans="1:10" ht="16.5" x14ac:dyDescent="0.35">
      <c r="A18" s="9"/>
      <c r="B18" s="8"/>
      <c r="C18" s="7" t="s">
        <v>20</v>
      </c>
      <c r="D18" s="15"/>
      <c r="E18" s="15"/>
      <c r="F18" s="15"/>
      <c r="G18" s="15"/>
      <c r="H18" s="15">
        <v>100000</v>
      </c>
      <c r="I18" s="15"/>
      <c r="J18" s="5">
        <f>SUM(D18:I18)</f>
        <v>100000</v>
      </c>
    </row>
    <row r="19" spans="1:10" ht="16.5" x14ac:dyDescent="0.35">
      <c r="A19" s="14"/>
      <c r="B19" s="13" t="s">
        <v>19</v>
      </c>
      <c r="C19" s="12"/>
      <c r="D19" s="5">
        <f>SUM(D15:D18)</f>
        <v>4279401</v>
      </c>
      <c r="E19" s="5">
        <f>SUM(E15:E18)</f>
        <v>9985269</v>
      </c>
      <c r="F19" s="5"/>
      <c r="G19" s="5">
        <f>SUM(G15:G18)</f>
        <v>3542168.3</v>
      </c>
      <c r="H19" s="5">
        <f>+H18</f>
        <v>100000</v>
      </c>
      <c r="I19" s="5">
        <f>SUM(I15:I18)</f>
        <v>5616120.1299999999</v>
      </c>
      <c r="J19" s="5">
        <f>SUM(D19:I19)</f>
        <v>23522958.43</v>
      </c>
    </row>
    <row r="20" spans="1:10" ht="16.5" x14ac:dyDescent="0.35">
      <c r="A20" s="9" t="s">
        <v>18</v>
      </c>
      <c r="B20" s="8" t="s">
        <v>17</v>
      </c>
      <c r="C20" s="7"/>
      <c r="D20" s="15"/>
      <c r="E20" s="15"/>
      <c r="F20" s="15"/>
      <c r="G20" s="15"/>
      <c r="H20" s="15"/>
      <c r="I20" s="15"/>
      <c r="J20" s="25"/>
    </row>
    <row r="21" spans="1:10" ht="16.5" x14ac:dyDescent="0.35">
      <c r="A21" s="14"/>
      <c r="B21" s="13"/>
      <c r="C21" s="12" t="s">
        <v>16</v>
      </c>
      <c r="D21" s="5">
        <v>3040</v>
      </c>
      <c r="E21" s="11">
        <v>97345</v>
      </c>
      <c r="F21" s="5"/>
      <c r="G21" s="5"/>
      <c r="H21" s="5"/>
      <c r="I21" s="5"/>
      <c r="J21" s="5">
        <f t="shared" ref="J21:J32" si="0">SUM(D21:I21)</f>
        <v>100385</v>
      </c>
    </row>
    <row r="22" spans="1:10" ht="16.5" x14ac:dyDescent="0.35">
      <c r="A22" s="14"/>
      <c r="B22" s="13"/>
      <c r="C22" s="12" t="s">
        <v>15</v>
      </c>
      <c r="D22" s="17">
        <v>839116.1</v>
      </c>
      <c r="E22" s="16">
        <v>348388.85</v>
      </c>
      <c r="F22" s="17"/>
      <c r="G22" s="17"/>
      <c r="H22" s="17"/>
      <c r="I22" s="16"/>
      <c r="J22" s="5">
        <f t="shared" si="0"/>
        <v>1187504.95</v>
      </c>
    </row>
    <row r="23" spans="1:10" ht="16.5" x14ac:dyDescent="0.35">
      <c r="A23" s="14"/>
      <c r="B23" s="13"/>
      <c r="C23" s="24" t="s">
        <v>14</v>
      </c>
      <c r="D23" s="5">
        <f>370298+449920</f>
        <v>820218</v>
      </c>
      <c r="E23" s="11">
        <f>86879.8+1219413.11</f>
        <v>1306292.9100000001</v>
      </c>
      <c r="F23" s="5"/>
      <c r="G23" s="5"/>
      <c r="H23" s="5">
        <v>99000</v>
      </c>
      <c r="I23" s="11">
        <f>199992</f>
        <v>199992</v>
      </c>
      <c r="J23" s="5">
        <f t="shared" si="0"/>
        <v>2425502.91</v>
      </c>
    </row>
    <row r="24" spans="1:10" ht="16.5" x14ac:dyDescent="0.35">
      <c r="A24" s="23"/>
      <c r="B24" s="22"/>
      <c r="C24" s="22" t="s">
        <v>13</v>
      </c>
      <c r="D24" s="21">
        <v>8000</v>
      </c>
      <c r="E24" s="20">
        <f>192300+200000</f>
        <v>392300</v>
      </c>
      <c r="F24" s="21"/>
      <c r="G24" s="21"/>
      <c r="H24" s="21"/>
      <c r="I24" s="20">
        <v>94938.5</v>
      </c>
      <c r="J24" s="5">
        <f t="shared" si="0"/>
        <v>495238.5</v>
      </c>
    </row>
    <row r="25" spans="1:10" ht="16.5" x14ac:dyDescent="0.35">
      <c r="A25" s="19"/>
      <c r="B25" s="18"/>
      <c r="C25" s="12" t="s">
        <v>12</v>
      </c>
      <c r="D25" s="17"/>
      <c r="E25" s="16"/>
      <c r="F25" s="17"/>
      <c r="G25" s="17">
        <f>328154.5+199880</f>
        <v>528034.5</v>
      </c>
      <c r="H25" s="17"/>
      <c r="I25" s="16">
        <v>24900</v>
      </c>
      <c r="J25" s="5">
        <f t="shared" si="0"/>
        <v>552934.5</v>
      </c>
    </row>
    <row r="26" spans="1:10" ht="16.5" x14ac:dyDescent="0.35">
      <c r="A26" s="14"/>
      <c r="B26" s="13"/>
      <c r="C26" s="7" t="s">
        <v>11</v>
      </c>
      <c r="D26" s="5"/>
      <c r="E26" s="11"/>
      <c r="F26" s="5"/>
      <c r="G26" s="5"/>
      <c r="H26" s="5"/>
      <c r="I26" s="11">
        <v>1295000</v>
      </c>
      <c r="J26" s="5">
        <f t="shared" si="0"/>
        <v>1295000</v>
      </c>
    </row>
    <row r="27" spans="1:10" ht="16.5" x14ac:dyDescent="0.35">
      <c r="A27" s="9"/>
      <c r="B27" s="8"/>
      <c r="C27" s="7" t="s">
        <v>10</v>
      </c>
      <c r="D27" s="15"/>
      <c r="E27" s="6">
        <v>2065757</v>
      </c>
      <c r="F27" s="15"/>
      <c r="G27" s="15">
        <f>99806</f>
        <v>99806</v>
      </c>
      <c r="H27" s="15"/>
      <c r="I27" s="6">
        <v>385600</v>
      </c>
      <c r="J27" s="5">
        <f t="shared" si="0"/>
        <v>2551163</v>
      </c>
    </row>
    <row r="28" spans="1:10" ht="16.5" x14ac:dyDescent="0.35">
      <c r="A28" s="9"/>
      <c r="B28" s="8"/>
      <c r="C28" s="7" t="s">
        <v>9</v>
      </c>
      <c r="D28" s="15"/>
      <c r="E28" s="6">
        <f>98000+400000</f>
        <v>498000</v>
      </c>
      <c r="F28" s="15"/>
      <c r="G28" s="15"/>
      <c r="H28" s="15"/>
      <c r="I28" s="6"/>
      <c r="J28" s="5">
        <f t="shared" si="0"/>
        <v>498000</v>
      </c>
    </row>
    <row r="29" spans="1:10" ht="16.5" x14ac:dyDescent="0.35">
      <c r="A29" s="9"/>
      <c r="B29" s="8"/>
      <c r="C29" s="7" t="s">
        <v>8</v>
      </c>
      <c r="D29" s="15"/>
      <c r="E29" s="6"/>
      <c r="F29" s="15"/>
      <c r="G29" s="15">
        <v>73679.8</v>
      </c>
      <c r="H29" s="15"/>
      <c r="I29" s="6"/>
      <c r="J29" s="5">
        <f t="shared" si="0"/>
        <v>73679.8</v>
      </c>
    </row>
    <row r="30" spans="1:10" ht="16.5" x14ac:dyDescent="0.35">
      <c r="A30" s="14"/>
      <c r="B30" s="13"/>
      <c r="C30" s="12" t="s">
        <v>7</v>
      </c>
      <c r="D30" s="5"/>
      <c r="E30" s="11"/>
      <c r="F30" s="5"/>
      <c r="G30" s="5">
        <v>156720.5</v>
      </c>
      <c r="H30" s="5"/>
      <c r="I30" s="11">
        <f>433124+349008+399595+356560</f>
        <v>1538287</v>
      </c>
      <c r="J30" s="5">
        <f t="shared" si="0"/>
        <v>1695007.5</v>
      </c>
    </row>
    <row r="31" spans="1:10" ht="16.5" x14ac:dyDescent="0.35">
      <c r="A31" s="9"/>
      <c r="B31" s="8" t="s">
        <v>6</v>
      </c>
      <c r="C31" s="7"/>
      <c r="D31" s="10">
        <f>SUM(D21:D30)</f>
        <v>1670374.1</v>
      </c>
      <c r="E31" s="10">
        <f>SUM(E21:E30)</f>
        <v>4708083.76</v>
      </c>
      <c r="F31" s="10"/>
      <c r="G31" s="10">
        <f>SUM(G21:G30)</f>
        <v>858240.8</v>
      </c>
      <c r="H31" s="10">
        <f>SUM(H21:H30)</f>
        <v>99000</v>
      </c>
      <c r="I31" s="10">
        <f>SUM(I21:I30)</f>
        <v>3538717.5</v>
      </c>
      <c r="J31" s="5">
        <f t="shared" si="0"/>
        <v>10874416.16</v>
      </c>
    </row>
    <row r="32" spans="1:10" ht="16.5" x14ac:dyDescent="0.35">
      <c r="A32" s="9" t="s">
        <v>5</v>
      </c>
      <c r="B32" s="8"/>
      <c r="C32" s="7"/>
      <c r="D32" s="6">
        <f>+D19-D31</f>
        <v>2609026.9</v>
      </c>
      <c r="E32" s="6">
        <f>+E19-E31</f>
        <v>5277185.24</v>
      </c>
      <c r="F32" s="6"/>
      <c r="G32" s="6">
        <f>+G19-G31</f>
        <v>2683927.5</v>
      </c>
      <c r="H32" s="6">
        <f>+H19-H31</f>
        <v>1000</v>
      </c>
      <c r="I32" s="6">
        <f>+I19-I31</f>
        <v>2077402.63</v>
      </c>
      <c r="J32" s="5">
        <f t="shared" si="0"/>
        <v>12648542.27</v>
      </c>
    </row>
    <row r="33" spans="1:10" ht="16.5" x14ac:dyDescent="0.35">
      <c r="A33" s="1"/>
      <c r="B33" s="1"/>
      <c r="C33" s="1"/>
      <c r="D33" s="1"/>
      <c r="E33" s="1"/>
      <c r="F33" s="1"/>
      <c r="G33" s="1"/>
      <c r="H33" s="1"/>
      <c r="I33" s="4"/>
      <c r="J33" s="2"/>
    </row>
    <row r="34" spans="1:10" ht="16.5" x14ac:dyDescent="0.35">
      <c r="A34" s="1" t="s">
        <v>4</v>
      </c>
      <c r="B34" s="1"/>
      <c r="C34" s="1"/>
      <c r="D34" s="1"/>
      <c r="E34" s="1"/>
      <c r="F34" s="1"/>
      <c r="G34" s="3"/>
      <c r="H34" s="1"/>
      <c r="I34" s="3"/>
      <c r="J34" s="1"/>
    </row>
    <row r="35" spans="1:10" ht="16.5" x14ac:dyDescent="0.35">
      <c r="A35" s="1"/>
      <c r="B35" s="1"/>
      <c r="C35" s="1"/>
      <c r="D35" s="1"/>
      <c r="E35" s="1"/>
      <c r="F35" s="1"/>
      <c r="G35" s="3"/>
      <c r="H35" s="1"/>
      <c r="I35" s="3"/>
      <c r="J35" s="1"/>
    </row>
    <row r="36" spans="1:10" ht="16.5" x14ac:dyDescent="0.35">
      <c r="A36" s="1"/>
      <c r="B36" s="1"/>
      <c r="C36" s="1"/>
      <c r="D36" s="1"/>
      <c r="E36" s="1"/>
      <c r="F36" s="1"/>
      <c r="G36" s="3"/>
      <c r="H36" s="1"/>
      <c r="I36" s="3"/>
      <c r="J36" s="1"/>
    </row>
    <row r="37" spans="1:10" ht="16.5" x14ac:dyDescent="0.35">
      <c r="A37" s="1" t="s">
        <v>3</v>
      </c>
      <c r="B37" s="1"/>
      <c r="C37" s="1"/>
      <c r="D37" s="1"/>
      <c r="E37" s="1"/>
      <c r="F37" s="1"/>
      <c r="G37" s="2"/>
      <c r="H37" s="1"/>
      <c r="I37" s="1"/>
      <c r="J37" s="1"/>
    </row>
    <row r="38" spans="1:10" ht="16.5" x14ac:dyDescent="0.35">
      <c r="A38" s="1" t="s">
        <v>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6.5" x14ac:dyDescent="0.35">
      <c r="A39" s="1" t="s">
        <v>1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.5" x14ac:dyDescent="0.3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6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6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6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6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6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6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6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6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6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6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6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6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6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6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6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6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6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6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6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6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6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6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6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6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6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6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6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6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6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6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6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6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6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6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6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6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6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6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6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6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6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6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6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6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6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6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6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6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6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6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6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6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6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6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6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6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6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6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6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6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6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6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6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6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6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6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6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6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6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6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6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6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6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6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6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6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6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6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6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6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6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6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6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6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6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6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6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6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6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6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6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6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6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</sheetData>
  <mergeCells count="8">
    <mergeCell ref="D10:E10"/>
    <mergeCell ref="F10:F13"/>
    <mergeCell ref="A11:C11"/>
    <mergeCell ref="A1:J1"/>
    <mergeCell ref="A2:J2"/>
    <mergeCell ref="A3:J3"/>
    <mergeCell ref="A4:J4"/>
    <mergeCell ref="A5:J5"/>
  </mergeCells>
  <pageMargins left="0.25" right="0.1" top="1.1000000000000001" bottom="1.1000000000000001" header="0.3" footer="0.3"/>
  <pageSetup paperSize="256" orientation="portrait" horizontalDpi="24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opLeftCell="G1" zoomScale="120" zoomScaleNormal="120" workbookViewId="0">
      <selection activeCell="K17" sqref="K17"/>
    </sheetView>
  </sheetViews>
  <sheetFormatPr defaultRowHeight="15" x14ac:dyDescent="0.25"/>
  <cols>
    <col min="1" max="1" width="11.42578125" customWidth="1"/>
    <col min="2" max="2" width="8.28515625" customWidth="1"/>
    <col min="3" max="3" width="11.85546875" customWidth="1"/>
    <col min="4" max="4" width="3.5703125" customWidth="1"/>
    <col min="5" max="5" width="12.5703125" customWidth="1"/>
    <col min="6" max="6" width="11.140625" customWidth="1"/>
    <col min="7" max="7" width="11.7109375" customWidth="1"/>
    <col min="8" max="8" width="11.140625" customWidth="1"/>
    <col min="9" max="9" width="12" customWidth="1"/>
    <col min="10" max="10" width="10.5703125" customWidth="1"/>
    <col min="11" max="12" width="10.7109375" customWidth="1"/>
    <col min="13" max="13" width="11.5703125" customWidth="1"/>
    <col min="14" max="15" width="11.42578125" customWidth="1"/>
  </cols>
  <sheetData>
    <row r="1" spans="1:15" x14ac:dyDescent="0.25">
      <c r="A1" s="121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5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25">
      <c r="A4" s="121" t="s">
        <v>50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x14ac:dyDescent="0.25">
      <c r="A6" s="43"/>
      <c r="B6" s="44"/>
      <c r="C6" s="44"/>
      <c r="D6" s="44"/>
      <c r="E6" s="44"/>
      <c r="F6" s="44"/>
      <c r="G6" s="122" t="s">
        <v>51</v>
      </c>
      <c r="H6" s="123"/>
      <c r="I6" s="124"/>
      <c r="J6" s="122" t="s">
        <v>52</v>
      </c>
      <c r="K6" s="123"/>
      <c r="L6" s="123"/>
      <c r="M6" s="125"/>
      <c r="N6" s="126"/>
      <c r="O6" s="127"/>
    </row>
    <row r="7" spans="1:15" x14ac:dyDescent="0.25">
      <c r="A7" s="45"/>
      <c r="B7" s="45" t="s">
        <v>53</v>
      </c>
      <c r="C7" s="45" t="s">
        <v>54</v>
      </c>
      <c r="D7" s="45"/>
      <c r="E7" s="45"/>
      <c r="F7" s="45" t="s">
        <v>55</v>
      </c>
      <c r="G7" s="129" t="s">
        <v>56</v>
      </c>
      <c r="H7" s="130"/>
      <c r="I7" s="131"/>
      <c r="J7" s="129" t="s">
        <v>57</v>
      </c>
      <c r="K7" s="130"/>
      <c r="L7" s="130"/>
      <c r="M7" s="132" t="s">
        <v>58</v>
      </c>
      <c r="N7" s="133"/>
      <c r="O7" s="134"/>
    </row>
    <row r="8" spans="1:15" x14ac:dyDescent="0.25">
      <c r="A8" s="46" t="s">
        <v>59</v>
      </c>
      <c r="B8" s="46" t="s">
        <v>60</v>
      </c>
      <c r="C8" s="46" t="s">
        <v>61</v>
      </c>
      <c r="D8" s="46"/>
      <c r="E8" s="46" t="s">
        <v>62</v>
      </c>
      <c r="F8" s="46" t="s">
        <v>63</v>
      </c>
      <c r="G8" s="47" t="s">
        <v>55</v>
      </c>
      <c r="H8" s="47" t="s">
        <v>64</v>
      </c>
      <c r="I8" s="47" t="s">
        <v>36</v>
      </c>
      <c r="J8" s="47" t="s">
        <v>55</v>
      </c>
      <c r="K8" s="47" t="s">
        <v>64</v>
      </c>
      <c r="L8" s="48" t="s">
        <v>36</v>
      </c>
      <c r="M8" s="47" t="s">
        <v>55</v>
      </c>
      <c r="N8" s="47" t="s">
        <v>64</v>
      </c>
      <c r="O8" s="47" t="s">
        <v>36</v>
      </c>
    </row>
    <row r="9" spans="1:15" x14ac:dyDescent="0.25">
      <c r="A9" s="49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x14ac:dyDescent="0.25">
      <c r="A10" s="49" t="s">
        <v>65</v>
      </c>
      <c r="B10" s="51" t="s">
        <v>66</v>
      </c>
      <c r="C10" s="135" t="s">
        <v>67</v>
      </c>
      <c r="D10" s="49" t="s">
        <v>68</v>
      </c>
      <c r="E10" s="49" t="s">
        <v>69</v>
      </c>
      <c r="F10" s="50">
        <v>24992887.32</v>
      </c>
      <c r="G10" s="50">
        <f>14440706.16+703952.72+703952.72+703952.72+703952.72</f>
        <v>17256517.040000003</v>
      </c>
      <c r="H10" s="50">
        <f>8302003.81+12497.58+174966+171118.37+298668.41</f>
        <v>8959254.1699999999</v>
      </c>
      <c r="I10" s="50">
        <f>+G10+H10</f>
        <v>26215771.210000001</v>
      </c>
      <c r="J10" s="50"/>
      <c r="K10" s="52"/>
      <c r="L10" s="50">
        <f>+J10+K10</f>
        <v>0</v>
      </c>
      <c r="M10" s="50">
        <v>7743479.8399999999</v>
      </c>
      <c r="N10" s="50">
        <v>983000</v>
      </c>
      <c r="O10" s="50">
        <f>+M10+N10</f>
        <v>8726479.8399999999</v>
      </c>
    </row>
    <row r="11" spans="1:15" x14ac:dyDescent="0.25">
      <c r="A11" s="49" t="s">
        <v>70</v>
      </c>
      <c r="B11" s="49"/>
      <c r="C11" s="135"/>
      <c r="D11" s="49"/>
      <c r="E11" s="49" t="s">
        <v>71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x14ac:dyDescent="0.25">
      <c r="A12" s="49"/>
      <c r="B12" s="49"/>
      <c r="C12" s="135"/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x14ac:dyDescent="0.25">
      <c r="A13" s="49" t="s">
        <v>65</v>
      </c>
      <c r="B13" s="51" t="s">
        <v>66</v>
      </c>
      <c r="C13" s="135" t="s">
        <v>72</v>
      </c>
      <c r="D13" s="49" t="s">
        <v>68</v>
      </c>
      <c r="E13" s="49" t="s">
        <v>73</v>
      </c>
      <c r="F13" s="50">
        <v>2000000</v>
      </c>
      <c r="G13" s="50">
        <f>1166664.82+55555.55+55555.55+55555.55+55555.55</f>
        <v>1388887.0200000003</v>
      </c>
      <c r="H13" s="50">
        <f>661224.4+3123.29+13808.22+13504.57+21849.31</f>
        <v>713509.79</v>
      </c>
      <c r="I13" s="50">
        <f>+G13+H13</f>
        <v>2102396.8100000005</v>
      </c>
      <c r="J13" s="50"/>
      <c r="K13" s="50"/>
      <c r="L13" s="50">
        <f>+J13+K13</f>
        <v>0</v>
      </c>
      <c r="M13" s="50">
        <v>611111.26</v>
      </c>
      <c r="N13" s="50">
        <v>80000</v>
      </c>
      <c r="O13" s="50">
        <f>+M13+N13</f>
        <v>691111.26</v>
      </c>
    </row>
    <row r="14" spans="1:15" x14ac:dyDescent="0.25">
      <c r="A14" s="49" t="s">
        <v>70</v>
      </c>
      <c r="B14" s="49"/>
      <c r="C14" s="135"/>
      <c r="D14" s="49"/>
      <c r="E14" s="49" t="s">
        <v>71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x14ac:dyDescent="0.25">
      <c r="A15" s="49"/>
      <c r="B15" s="49"/>
      <c r="C15" s="135"/>
      <c r="D15" s="49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x14ac:dyDescent="0.25">
      <c r="A16" s="49" t="s">
        <v>65</v>
      </c>
      <c r="B16" s="51" t="s">
        <v>66</v>
      </c>
      <c r="C16" s="136" t="s">
        <v>74</v>
      </c>
      <c r="D16" s="49" t="s">
        <v>68</v>
      </c>
      <c r="E16" s="49" t="s">
        <v>73</v>
      </c>
      <c r="F16" s="50">
        <v>19986000</v>
      </c>
      <c r="G16" s="50">
        <f>11672498.5+555166.66+555166.66+555166.66+555166.66</f>
        <v>13893165.140000001</v>
      </c>
      <c r="H16" s="50">
        <f>6565341.8+9856.11+137985.54+134951.13+235542.43</f>
        <v>7083677.0099999998</v>
      </c>
      <c r="I16" s="50">
        <f>+G16+H16</f>
        <v>20976842.149999999</v>
      </c>
      <c r="J16" s="50"/>
      <c r="K16" s="52"/>
      <c r="L16" s="50">
        <f>+J16+K16</f>
        <v>0</v>
      </c>
      <c r="M16" s="50">
        <v>6106833.5</v>
      </c>
      <c r="N16" s="50">
        <v>775000</v>
      </c>
      <c r="O16" s="50">
        <f>+M16+N16</f>
        <v>6881833.5</v>
      </c>
    </row>
    <row r="17" spans="1:15" x14ac:dyDescent="0.25">
      <c r="A17" s="49" t="s">
        <v>70</v>
      </c>
      <c r="B17" s="49"/>
      <c r="C17" s="136"/>
      <c r="D17" s="49"/>
      <c r="E17" s="49" t="s">
        <v>71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x14ac:dyDescent="0.25">
      <c r="A18" s="49"/>
      <c r="B18" s="49"/>
      <c r="C18" s="136"/>
      <c r="D18" s="49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x14ac:dyDescent="0.25">
      <c r="A19" s="49" t="s">
        <v>65</v>
      </c>
      <c r="B19" s="51" t="s">
        <v>66</v>
      </c>
      <c r="C19" s="135" t="s">
        <v>75</v>
      </c>
      <c r="D19" s="51" t="s">
        <v>76</v>
      </c>
      <c r="E19" s="49" t="s">
        <v>73</v>
      </c>
      <c r="F19" s="50">
        <v>4900000</v>
      </c>
      <c r="G19" s="50">
        <f>2818061.83+138795.76+138795.76+138795.76+138795.76</f>
        <v>3373244.8699999992</v>
      </c>
      <c r="H19" s="50">
        <f>1912012.83+8213.67+34497.4+33738.77+54255.95</f>
        <v>2042718.6199999999</v>
      </c>
      <c r="I19" s="50">
        <f>+G19+H19</f>
        <v>5415963.4899999993</v>
      </c>
      <c r="J19" s="50"/>
      <c r="K19" s="50"/>
      <c r="L19" s="50">
        <f>+J19+K19</f>
        <v>0</v>
      </c>
      <c r="M19" s="50">
        <v>1526753.06</v>
      </c>
      <c r="N19" s="50">
        <v>200000</v>
      </c>
      <c r="O19" s="50">
        <f>+M19+N19</f>
        <v>1726753.06</v>
      </c>
    </row>
    <row r="20" spans="1:15" x14ac:dyDescent="0.25">
      <c r="A20" s="49" t="s">
        <v>70</v>
      </c>
      <c r="B20" s="49"/>
      <c r="C20" s="135"/>
      <c r="D20" s="49"/>
      <c r="E20" s="49" t="s">
        <v>71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x14ac:dyDescent="0.25">
      <c r="A21" s="49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customHeight="1" x14ac:dyDescent="0.25">
      <c r="A22" s="49" t="s">
        <v>65</v>
      </c>
      <c r="B22" s="51" t="s">
        <v>66</v>
      </c>
      <c r="C22" s="135" t="s">
        <v>77</v>
      </c>
      <c r="D22" s="51" t="s">
        <v>76</v>
      </c>
      <c r="E22" s="49" t="s">
        <v>73</v>
      </c>
      <c r="F22" s="50">
        <v>14369063.9</v>
      </c>
      <c r="G22" s="50">
        <f>8714299.82+419046.47+419046.47+419046.47+419046.47</f>
        <v>10390485.700000003</v>
      </c>
      <c r="H22" s="50">
        <f>4946326.1+7439.52+104153.14+101862.73+177790.24</f>
        <v>5337571.7299999995</v>
      </c>
      <c r="I22" s="50">
        <f>+G22+H22</f>
        <v>15728057.430000003</v>
      </c>
      <c r="J22" s="50"/>
      <c r="K22" s="52"/>
      <c r="L22" s="50">
        <f>+J22+K22</f>
        <v>0</v>
      </c>
      <c r="M22" s="50">
        <v>4609511.18</v>
      </c>
      <c r="N22" s="50">
        <v>585000</v>
      </c>
      <c r="O22" s="50">
        <f>+M22+N22</f>
        <v>5194511.18</v>
      </c>
    </row>
    <row r="23" spans="1:15" x14ac:dyDescent="0.25">
      <c r="A23" s="49"/>
      <c r="B23" s="49"/>
      <c r="C23" s="137"/>
      <c r="D23" s="49"/>
      <c r="E23" s="49" t="s">
        <v>71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x14ac:dyDescent="0.25">
      <c r="A24" s="53" t="s">
        <v>36</v>
      </c>
      <c r="B24" s="54"/>
      <c r="C24" s="54"/>
      <c r="D24" s="54"/>
      <c r="E24" s="53"/>
      <c r="F24" s="55">
        <f t="shared" ref="F24:O24" si="0">SUM(F9:F23)</f>
        <v>66247951.219999999</v>
      </c>
      <c r="G24" s="55">
        <f t="shared" si="0"/>
        <v>46302299.770000003</v>
      </c>
      <c r="H24" s="55">
        <f t="shared" si="0"/>
        <v>24136731.32</v>
      </c>
      <c r="I24" s="55">
        <f t="shared" si="0"/>
        <v>70439031.090000004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20597688.84</v>
      </c>
      <c r="N24" s="55">
        <f t="shared" si="0"/>
        <v>2623000</v>
      </c>
      <c r="O24" s="55">
        <f t="shared" si="0"/>
        <v>23220688.84</v>
      </c>
    </row>
    <row r="25" spans="1:15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x14ac:dyDescent="0.25">
      <c r="A26" s="56" t="s">
        <v>78</v>
      </c>
      <c r="B26" s="57"/>
      <c r="C26" s="57"/>
      <c r="D26" s="57"/>
      <c r="E26" s="57"/>
      <c r="F26" s="57"/>
      <c r="G26" s="57"/>
      <c r="H26" s="57"/>
      <c r="I26" s="57"/>
      <c r="J26" s="57" t="s">
        <v>79</v>
      </c>
      <c r="K26" s="57"/>
      <c r="L26" s="57"/>
      <c r="M26" s="57"/>
      <c r="N26" s="57"/>
      <c r="O26" s="58"/>
    </row>
    <row r="27" spans="1:15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x14ac:dyDescent="0.25">
      <c r="A29" s="57" t="s">
        <v>3</v>
      </c>
      <c r="B29" s="57"/>
      <c r="C29" s="57"/>
      <c r="D29" s="57"/>
      <c r="E29" s="57"/>
      <c r="F29" s="57"/>
      <c r="G29" s="57"/>
      <c r="H29" s="57"/>
      <c r="I29" s="57"/>
      <c r="J29" s="57" t="s">
        <v>80</v>
      </c>
      <c r="K29" s="57"/>
      <c r="L29" s="57"/>
      <c r="M29" s="57"/>
      <c r="N29" s="57"/>
      <c r="O29" s="57"/>
    </row>
    <row r="30" spans="1:15" x14ac:dyDescent="0.25">
      <c r="A30" s="57" t="s">
        <v>2</v>
      </c>
      <c r="B30" s="57"/>
      <c r="C30" s="57"/>
      <c r="D30" s="57"/>
      <c r="E30" s="57"/>
      <c r="F30" s="57"/>
      <c r="G30" s="57"/>
      <c r="H30" s="57"/>
      <c r="I30" s="57"/>
      <c r="J30" s="57" t="s">
        <v>81</v>
      </c>
      <c r="K30" s="57"/>
      <c r="L30" s="57"/>
      <c r="M30" s="57"/>
      <c r="N30" s="57"/>
      <c r="O30" s="57"/>
    </row>
    <row r="31" spans="1:15" x14ac:dyDescent="0.25">
      <c r="A31" s="57" t="s">
        <v>1</v>
      </c>
    </row>
    <row r="32" spans="1:15" x14ac:dyDescent="0.25">
      <c r="A32" s="57" t="s">
        <v>0</v>
      </c>
    </row>
    <row r="40" spans="1:15" x14ac:dyDescent="0.25">
      <c r="A40" s="128" t="s">
        <v>48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59"/>
      <c r="N40" s="59"/>
      <c r="O40" s="59"/>
    </row>
    <row r="41" spans="1:15" x14ac:dyDescent="0.25">
      <c r="A41" s="128" t="s">
        <v>82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59"/>
      <c r="N41" s="59"/>
      <c r="O41" s="59"/>
    </row>
    <row r="42" spans="1:1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x14ac:dyDescent="0.25">
      <c r="A43" s="128" t="s">
        <v>50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59"/>
      <c r="N43" s="59"/>
      <c r="O43" s="59"/>
    </row>
    <row r="44" spans="1:15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x14ac:dyDescent="0.25">
      <c r="A45" s="60"/>
      <c r="B45" s="61"/>
      <c r="C45" s="61"/>
      <c r="D45" s="61"/>
      <c r="E45" s="61"/>
      <c r="F45" s="61"/>
      <c r="G45" s="138" t="s">
        <v>51</v>
      </c>
      <c r="H45" s="139"/>
      <c r="I45" s="140"/>
      <c r="J45" s="138" t="s">
        <v>52</v>
      </c>
      <c r="K45" s="139"/>
      <c r="L45" s="139"/>
      <c r="M45" s="141"/>
      <c r="N45" s="142"/>
      <c r="O45" s="143"/>
    </row>
    <row r="46" spans="1:15" x14ac:dyDescent="0.25">
      <c r="A46" s="62"/>
      <c r="B46" s="62" t="s">
        <v>53</v>
      </c>
      <c r="C46" s="62" t="s">
        <v>54</v>
      </c>
      <c r="D46" s="62"/>
      <c r="E46" s="62"/>
      <c r="F46" s="62" t="s">
        <v>55</v>
      </c>
      <c r="G46" s="144" t="s">
        <v>56</v>
      </c>
      <c r="H46" s="145"/>
      <c r="I46" s="146"/>
      <c r="J46" s="144" t="s">
        <v>57</v>
      </c>
      <c r="K46" s="145"/>
      <c r="L46" s="145"/>
      <c r="M46" s="147" t="s">
        <v>58</v>
      </c>
      <c r="N46" s="148"/>
      <c r="O46" s="149"/>
    </row>
    <row r="47" spans="1:15" x14ac:dyDescent="0.25">
      <c r="A47" s="63" t="s">
        <v>59</v>
      </c>
      <c r="B47" s="63" t="s">
        <v>60</v>
      </c>
      <c r="C47" s="63" t="s">
        <v>61</v>
      </c>
      <c r="D47" s="63"/>
      <c r="E47" s="63" t="s">
        <v>62</v>
      </c>
      <c r="F47" s="63" t="s">
        <v>63</v>
      </c>
      <c r="G47" s="64" t="s">
        <v>55</v>
      </c>
      <c r="H47" s="64" t="s">
        <v>64</v>
      </c>
      <c r="I47" s="64" t="s">
        <v>36</v>
      </c>
      <c r="J47" s="64" t="s">
        <v>55</v>
      </c>
      <c r="K47" s="64" t="s">
        <v>64</v>
      </c>
      <c r="L47" s="65" t="s">
        <v>36</v>
      </c>
      <c r="M47" s="64" t="s">
        <v>55</v>
      </c>
      <c r="N47" s="64" t="s">
        <v>64</v>
      </c>
      <c r="O47" s="64" t="s">
        <v>36</v>
      </c>
    </row>
    <row r="48" spans="1:15" x14ac:dyDescent="0.25">
      <c r="A48" s="66"/>
      <c r="B48" s="66"/>
      <c r="C48" s="66"/>
      <c r="D48" s="66"/>
      <c r="E48" s="66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x14ac:dyDescent="0.25">
      <c r="A49" s="66" t="s">
        <v>65</v>
      </c>
      <c r="B49" s="68" t="s">
        <v>83</v>
      </c>
      <c r="C49" s="66" t="s">
        <v>84</v>
      </c>
      <c r="D49" s="69" t="s">
        <v>76</v>
      </c>
      <c r="E49" s="66" t="s">
        <v>85</v>
      </c>
      <c r="F49" s="67">
        <f>35602306.41</f>
        <v>35602306.409999996</v>
      </c>
      <c r="G49" s="67">
        <v>31494348.039999999</v>
      </c>
      <c r="H49" s="67">
        <v>6244384</v>
      </c>
      <c r="I49" s="67">
        <f>+G49+H49</f>
        <v>37738732.039999999</v>
      </c>
      <c r="J49" s="67">
        <v>4108000</v>
      </c>
      <c r="K49" s="67">
        <v>222000</v>
      </c>
      <c r="L49" s="67">
        <f>+J49+K49</f>
        <v>4330000</v>
      </c>
      <c r="M49" s="67"/>
      <c r="N49" s="67"/>
      <c r="O49" s="67"/>
    </row>
    <row r="50" spans="1:15" x14ac:dyDescent="0.25">
      <c r="A50" s="66" t="s">
        <v>70</v>
      </c>
      <c r="B50" s="66"/>
      <c r="C50" s="66" t="s">
        <v>86</v>
      </c>
      <c r="D50" s="66"/>
      <c r="E50" s="66" t="s">
        <v>87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x14ac:dyDescent="0.25">
      <c r="A51" s="66"/>
      <c r="B51" s="66"/>
      <c r="C51" s="66"/>
      <c r="D51" s="66"/>
      <c r="E51" s="66" t="s">
        <v>88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x14ac:dyDescent="0.25">
      <c r="A52" s="66"/>
      <c r="B52" s="66"/>
      <c r="C52" s="66"/>
      <c r="D52" s="66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x14ac:dyDescent="0.25">
      <c r="A53" s="66" t="s">
        <v>65</v>
      </c>
      <c r="B53" s="68" t="s">
        <v>66</v>
      </c>
      <c r="C53" s="66" t="s">
        <v>89</v>
      </c>
      <c r="D53" s="66" t="s">
        <v>68</v>
      </c>
      <c r="E53" s="66" t="s">
        <v>69</v>
      </c>
      <c r="F53" s="67">
        <v>25000000</v>
      </c>
      <c r="G53" s="67">
        <v>11624895.279999999</v>
      </c>
      <c r="H53" s="67">
        <v>7734805</v>
      </c>
      <c r="I53" s="67">
        <f>+G53+H53</f>
        <v>19359700.280000001</v>
      </c>
      <c r="J53" s="67">
        <v>2816000</v>
      </c>
      <c r="K53" s="70">
        <v>1299000</v>
      </c>
      <c r="L53" s="67">
        <f>+J53+K53</f>
        <v>4115000</v>
      </c>
      <c r="M53" s="67">
        <f>+F53-G53-J53</f>
        <v>10559104.720000001</v>
      </c>
      <c r="N53" s="67">
        <v>2535000</v>
      </c>
      <c r="O53" s="67">
        <f>+M53+N53</f>
        <v>13094104.720000001</v>
      </c>
    </row>
    <row r="54" spans="1:15" x14ac:dyDescent="0.25">
      <c r="A54" s="66" t="s">
        <v>70</v>
      </c>
      <c r="B54" s="66"/>
      <c r="C54" s="66" t="s">
        <v>90</v>
      </c>
      <c r="D54" s="66"/>
      <c r="E54" s="66" t="s">
        <v>71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x14ac:dyDescent="0.25">
      <c r="A55" s="66"/>
      <c r="B55" s="66"/>
      <c r="C55" s="66"/>
      <c r="D55" s="66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x14ac:dyDescent="0.25">
      <c r="A56" s="66" t="s">
        <v>65</v>
      </c>
      <c r="B56" s="68" t="s">
        <v>66</v>
      </c>
      <c r="C56" s="66" t="s">
        <v>91</v>
      </c>
      <c r="D56" s="66" t="s">
        <v>68</v>
      </c>
      <c r="E56" s="66" t="s">
        <v>73</v>
      </c>
      <c r="F56" s="67">
        <v>2000000</v>
      </c>
      <c r="G56" s="67">
        <v>944442.62</v>
      </c>
      <c r="H56" s="67">
        <v>612504</v>
      </c>
      <c r="I56" s="67">
        <f>+G56+H56</f>
        <v>1556946.62</v>
      </c>
      <c r="J56" s="67">
        <v>223000</v>
      </c>
      <c r="K56" s="67">
        <v>103000</v>
      </c>
      <c r="L56" s="67">
        <f>+J56+K56</f>
        <v>326000</v>
      </c>
      <c r="M56" s="67">
        <f>+F56-G56-J56</f>
        <v>832557.37999999989</v>
      </c>
      <c r="N56" s="67">
        <v>200000</v>
      </c>
      <c r="O56" s="67">
        <f>+M56+N56</f>
        <v>1032557.3799999999</v>
      </c>
    </row>
    <row r="57" spans="1:15" x14ac:dyDescent="0.25">
      <c r="A57" s="66" t="s">
        <v>70</v>
      </c>
      <c r="B57" s="66"/>
      <c r="C57" s="66" t="s">
        <v>92</v>
      </c>
      <c r="D57" s="66"/>
      <c r="E57" s="66" t="s">
        <v>71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15" x14ac:dyDescent="0.25">
      <c r="A58" s="66"/>
      <c r="B58" s="66"/>
      <c r="C58" s="66"/>
      <c r="D58" s="66"/>
      <c r="E58" s="66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x14ac:dyDescent="0.25">
      <c r="A59" s="66" t="s">
        <v>65</v>
      </c>
      <c r="B59" s="68" t="s">
        <v>66</v>
      </c>
      <c r="C59" s="66" t="s">
        <v>93</v>
      </c>
      <c r="D59" s="66" t="s">
        <v>68</v>
      </c>
      <c r="E59" s="66" t="s">
        <v>73</v>
      </c>
      <c r="F59" s="67">
        <v>20000000</v>
      </c>
      <c r="G59" s="67">
        <v>9451831.8599999994</v>
      </c>
      <c r="H59" s="67">
        <v>6118025</v>
      </c>
      <c r="I59" s="67">
        <f>+G59+H59</f>
        <v>15569856.859999999</v>
      </c>
      <c r="J59" s="67">
        <v>2223000</v>
      </c>
      <c r="K59" s="70">
        <v>1025000</v>
      </c>
      <c r="L59" s="67">
        <f>+J59+K59</f>
        <v>3248000</v>
      </c>
      <c r="M59" s="67">
        <f>+F59-G59-J59</f>
        <v>8325168.1400000006</v>
      </c>
      <c r="N59" s="67">
        <v>2000000</v>
      </c>
      <c r="O59" s="67">
        <f>+M59+N59</f>
        <v>10325168.140000001</v>
      </c>
    </row>
    <row r="60" spans="1:15" x14ac:dyDescent="0.25">
      <c r="A60" s="66" t="s">
        <v>70</v>
      </c>
      <c r="B60" s="66"/>
      <c r="C60" s="66" t="s">
        <v>92</v>
      </c>
      <c r="D60" s="66"/>
      <c r="E60" s="66" t="s">
        <v>71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x14ac:dyDescent="0.25">
      <c r="A61" s="66"/>
      <c r="B61" s="66"/>
      <c r="C61" s="66"/>
      <c r="D61" s="66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x14ac:dyDescent="0.25">
      <c r="A62" s="66" t="s">
        <v>65</v>
      </c>
      <c r="B62" s="68" t="s">
        <v>66</v>
      </c>
      <c r="C62" s="66" t="s">
        <v>94</v>
      </c>
      <c r="D62" s="68" t="s">
        <v>76</v>
      </c>
      <c r="E62" s="66" t="s">
        <v>73</v>
      </c>
      <c r="F62" s="67">
        <v>4900000</v>
      </c>
      <c r="G62" s="67">
        <v>2262878.79</v>
      </c>
      <c r="H62" s="67">
        <v>1789533</v>
      </c>
      <c r="I62" s="67">
        <f>+G62+H62</f>
        <v>4052411.79</v>
      </c>
      <c r="J62" s="67">
        <v>556000</v>
      </c>
      <c r="K62" s="67">
        <v>258000</v>
      </c>
      <c r="L62" s="67">
        <f>+J62+K62</f>
        <v>814000</v>
      </c>
      <c r="M62" s="67">
        <f>+F62-G62-J62</f>
        <v>2081121.21</v>
      </c>
      <c r="N62" s="67">
        <v>501000</v>
      </c>
      <c r="O62" s="67">
        <f>+M62+N62</f>
        <v>2582121.21</v>
      </c>
    </row>
    <row r="63" spans="1:15" x14ac:dyDescent="0.25">
      <c r="A63" s="66" t="s">
        <v>70</v>
      </c>
      <c r="B63" s="66"/>
      <c r="C63" s="66"/>
      <c r="D63" s="66"/>
      <c r="E63" s="66" t="s">
        <v>71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x14ac:dyDescent="0.25">
      <c r="A64" s="66"/>
      <c r="B64" s="66"/>
      <c r="C64" s="66"/>
      <c r="D64" s="66"/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1:15" x14ac:dyDescent="0.25">
      <c r="A65" s="66" t="s">
        <v>65</v>
      </c>
      <c r="B65" s="68" t="s">
        <v>66</v>
      </c>
      <c r="C65" s="66" t="s">
        <v>95</v>
      </c>
      <c r="D65" s="68" t="s">
        <v>76</v>
      </c>
      <c r="E65" s="66" t="s">
        <v>73</v>
      </c>
      <c r="F65" s="67">
        <v>15000000</v>
      </c>
      <c r="G65" s="67">
        <v>7038113.9299999997</v>
      </c>
      <c r="H65" s="67">
        <v>4608686</v>
      </c>
      <c r="I65" s="67">
        <f>+G65+H65</f>
        <v>11646799.93</v>
      </c>
      <c r="J65" s="67">
        <v>1677000</v>
      </c>
      <c r="K65" s="70">
        <v>774000</v>
      </c>
      <c r="L65" s="67">
        <f>+J65+K65</f>
        <v>2451000</v>
      </c>
      <c r="M65" s="67">
        <f>+F65-G65-J65</f>
        <v>6284886.0700000003</v>
      </c>
      <c r="N65" s="67">
        <v>1510000</v>
      </c>
      <c r="O65" s="67">
        <f>+M65+N65</f>
        <v>7794886.0700000003</v>
      </c>
    </row>
    <row r="66" spans="1:15" x14ac:dyDescent="0.25">
      <c r="A66" s="66"/>
      <c r="B66" s="66"/>
      <c r="C66" s="66" t="s">
        <v>96</v>
      </c>
      <c r="D66" s="66"/>
      <c r="E66" s="66" t="s">
        <v>71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1:15" x14ac:dyDescent="0.25">
      <c r="A67" s="71" t="s">
        <v>36</v>
      </c>
      <c r="B67" s="72"/>
      <c r="C67" s="72"/>
      <c r="D67" s="72"/>
      <c r="E67" s="71"/>
      <c r="F67" s="73">
        <f t="shared" ref="F67:O67" si="1">SUM(F48:F66)</f>
        <v>102502306.41</v>
      </c>
      <c r="G67" s="73">
        <f t="shared" si="1"/>
        <v>62816510.519999996</v>
      </c>
      <c r="H67" s="73">
        <f t="shared" si="1"/>
        <v>27107937</v>
      </c>
      <c r="I67" s="73">
        <f t="shared" si="1"/>
        <v>89924447.520000011</v>
      </c>
      <c r="J67" s="73">
        <f t="shared" si="1"/>
        <v>11603000</v>
      </c>
      <c r="K67" s="73">
        <f t="shared" si="1"/>
        <v>3681000</v>
      </c>
      <c r="L67" s="73">
        <f t="shared" si="1"/>
        <v>15284000</v>
      </c>
      <c r="M67" s="73">
        <f t="shared" si="1"/>
        <v>28082837.520000003</v>
      </c>
      <c r="N67" s="73">
        <f t="shared" si="1"/>
        <v>6746000</v>
      </c>
      <c r="O67" s="73">
        <f t="shared" si="1"/>
        <v>34828837.520000003</v>
      </c>
    </row>
    <row r="68" spans="1:15" x14ac:dyDescent="0.25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x14ac:dyDescent="0.25">
      <c r="A69" s="74" t="s">
        <v>78</v>
      </c>
      <c r="B69" s="75"/>
      <c r="C69" s="75"/>
      <c r="D69" s="75"/>
      <c r="E69" s="75"/>
      <c r="F69" s="75"/>
      <c r="G69" s="75"/>
      <c r="H69" s="75"/>
      <c r="I69" s="75"/>
      <c r="J69" s="75" t="s">
        <v>79</v>
      </c>
      <c r="K69" s="75"/>
      <c r="L69" s="75"/>
      <c r="M69" s="75"/>
      <c r="N69" s="75"/>
      <c r="O69" s="76"/>
    </row>
    <row r="70" spans="1:15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x14ac:dyDescent="0.25">
      <c r="A72" s="75" t="s">
        <v>97</v>
      </c>
      <c r="B72" s="75"/>
      <c r="C72" s="75"/>
      <c r="D72" s="75"/>
      <c r="E72" s="75"/>
      <c r="F72" s="75"/>
      <c r="G72" s="75"/>
      <c r="H72" s="75"/>
      <c r="I72" s="75"/>
      <c r="J72" s="75" t="s">
        <v>98</v>
      </c>
      <c r="K72" s="75"/>
      <c r="L72" s="75"/>
      <c r="M72" s="75"/>
      <c r="N72" s="75"/>
      <c r="O72" s="75"/>
    </row>
    <row r="73" spans="1:15" x14ac:dyDescent="0.25">
      <c r="A73" s="75" t="s">
        <v>99</v>
      </c>
      <c r="B73" s="75"/>
      <c r="C73" s="75"/>
      <c r="D73" s="75"/>
      <c r="E73" s="75"/>
      <c r="F73" s="75"/>
      <c r="G73" s="75"/>
      <c r="H73" s="75"/>
      <c r="I73" s="75"/>
      <c r="J73" s="75" t="s">
        <v>81</v>
      </c>
      <c r="K73" s="75"/>
      <c r="L73" s="75"/>
      <c r="M73" s="75"/>
      <c r="N73" s="75"/>
      <c r="O73" s="75"/>
    </row>
    <row r="85" spans="1:15" x14ac:dyDescent="0.25">
      <c r="A85" s="128" t="s">
        <v>48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59"/>
      <c r="N85" s="59"/>
      <c r="O85" s="59"/>
    </row>
    <row r="86" spans="1:15" x14ac:dyDescent="0.25">
      <c r="A86" s="128" t="s">
        <v>100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59"/>
      <c r="N86" s="59"/>
      <c r="O86" s="59"/>
    </row>
    <row r="87" spans="1:1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x14ac:dyDescent="0.25">
      <c r="A88" s="128" t="s">
        <v>50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59"/>
      <c r="N88" s="59"/>
      <c r="O88" s="59"/>
    </row>
    <row r="89" spans="1:15" x14ac:dyDescent="0.2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</row>
    <row r="90" spans="1:15" x14ac:dyDescent="0.25">
      <c r="A90" s="60"/>
      <c r="B90" s="61"/>
      <c r="C90" s="61"/>
      <c r="D90" s="61"/>
      <c r="E90" s="61"/>
      <c r="F90" s="61"/>
      <c r="G90" s="138" t="s">
        <v>51</v>
      </c>
      <c r="H90" s="139"/>
      <c r="I90" s="140"/>
      <c r="J90" s="138" t="s">
        <v>52</v>
      </c>
      <c r="K90" s="139"/>
      <c r="L90" s="139"/>
      <c r="M90" s="141"/>
      <c r="N90" s="142"/>
      <c r="O90" s="143"/>
    </row>
    <row r="91" spans="1:15" x14ac:dyDescent="0.25">
      <c r="A91" s="62"/>
      <c r="B91" s="62" t="s">
        <v>53</v>
      </c>
      <c r="C91" s="62" t="s">
        <v>54</v>
      </c>
      <c r="D91" s="62"/>
      <c r="E91" s="62"/>
      <c r="F91" s="62" t="s">
        <v>55</v>
      </c>
      <c r="G91" s="144" t="s">
        <v>56</v>
      </c>
      <c r="H91" s="145"/>
      <c r="I91" s="146"/>
      <c r="J91" s="144" t="s">
        <v>57</v>
      </c>
      <c r="K91" s="145"/>
      <c r="L91" s="145"/>
      <c r="M91" s="147" t="s">
        <v>58</v>
      </c>
      <c r="N91" s="148"/>
      <c r="O91" s="149"/>
    </row>
    <row r="92" spans="1:15" x14ac:dyDescent="0.25">
      <c r="A92" s="63" t="s">
        <v>59</v>
      </c>
      <c r="B92" s="63" t="s">
        <v>60</v>
      </c>
      <c r="C92" s="63" t="s">
        <v>61</v>
      </c>
      <c r="D92" s="63"/>
      <c r="E92" s="63" t="s">
        <v>62</v>
      </c>
      <c r="F92" s="63" t="s">
        <v>63</v>
      </c>
      <c r="G92" s="64" t="s">
        <v>55</v>
      </c>
      <c r="H92" s="64" t="s">
        <v>64</v>
      </c>
      <c r="I92" s="64" t="s">
        <v>36</v>
      </c>
      <c r="J92" s="64" t="s">
        <v>55</v>
      </c>
      <c r="K92" s="64" t="s">
        <v>64</v>
      </c>
      <c r="L92" s="65" t="s">
        <v>36</v>
      </c>
      <c r="M92" s="64" t="s">
        <v>55</v>
      </c>
      <c r="N92" s="64" t="s">
        <v>64</v>
      </c>
      <c r="O92" s="64" t="s">
        <v>36</v>
      </c>
    </row>
    <row r="93" spans="1:15" x14ac:dyDescent="0.25">
      <c r="A93" s="77" t="s">
        <v>65</v>
      </c>
      <c r="B93" s="78" t="s">
        <v>101</v>
      </c>
      <c r="C93" s="77" t="s">
        <v>102</v>
      </c>
      <c r="D93" s="77" t="s">
        <v>68</v>
      </c>
      <c r="E93" s="77" t="s">
        <v>103</v>
      </c>
      <c r="F93" s="79">
        <v>7798060</v>
      </c>
      <c r="G93" s="79">
        <f>5570045+1114009</f>
        <v>6684054</v>
      </c>
      <c r="H93" s="79">
        <f>669553+185000</f>
        <v>854553</v>
      </c>
      <c r="I93" s="79">
        <f>+G93+H93</f>
        <v>7538607</v>
      </c>
      <c r="J93" s="79">
        <v>1115000</v>
      </c>
      <c r="K93" s="79">
        <v>112000</v>
      </c>
      <c r="L93" s="79" t="e">
        <f>+J93+K93+#REF!</f>
        <v>#REF!</v>
      </c>
      <c r="M93" s="67"/>
      <c r="N93" s="67"/>
      <c r="O93" s="67"/>
    </row>
    <row r="94" spans="1:15" x14ac:dyDescent="0.25">
      <c r="A94" s="66" t="s">
        <v>70</v>
      </c>
      <c r="B94" s="80"/>
      <c r="C94" s="81" t="s">
        <v>104</v>
      </c>
      <c r="D94" s="81"/>
      <c r="E94" s="66" t="s">
        <v>105</v>
      </c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1:15" x14ac:dyDescent="0.25">
      <c r="A95" s="66"/>
      <c r="B95" s="66"/>
      <c r="C95" s="66"/>
      <c r="D95" s="66"/>
      <c r="E95" s="66" t="s">
        <v>106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1:15" x14ac:dyDescent="0.25">
      <c r="A96" s="66"/>
      <c r="B96" s="66"/>
      <c r="C96" s="66"/>
      <c r="D96" s="66"/>
      <c r="E96" s="66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1:15" x14ac:dyDescent="0.25">
      <c r="A97" s="66" t="s">
        <v>65</v>
      </c>
      <c r="B97" s="68" t="s">
        <v>83</v>
      </c>
      <c r="C97" s="66" t="s">
        <v>84</v>
      </c>
      <c r="D97" s="69" t="s">
        <v>76</v>
      </c>
      <c r="E97" s="66" t="s">
        <v>85</v>
      </c>
      <c r="F97" s="67">
        <f>35602306.41</f>
        <v>35602306.409999996</v>
      </c>
      <c r="G97" s="67">
        <f>20539792.2+5477277.92</f>
        <v>26017070.119999997</v>
      </c>
      <c r="H97" s="67">
        <f>4187384+1301000</f>
        <v>5488384</v>
      </c>
      <c r="I97" s="67">
        <f>+G97+H97</f>
        <v>31505454.119999997</v>
      </c>
      <c r="J97" s="67">
        <v>5478000</v>
      </c>
      <c r="K97" s="67">
        <v>756000</v>
      </c>
      <c r="L97" s="67" t="e">
        <f>+J97+K97+#REF!</f>
        <v>#REF!</v>
      </c>
      <c r="M97" s="67">
        <f>+F97-G97-J97</f>
        <v>4107236.2899999991</v>
      </c>
      <c r="N97" s="67">
        <v>220000</v>
      </c>
      <c r="O97" s="67">
        <f>+M97+N97</f>
        <v>4327236.2899999991</v>
      </c>
    </row>
    <row r="98" spans="1:15" x14ac:dyDescent="0.25">
      <c r="A98" s="66" t="s">
        <v>70</v>
      </c>
      <c r="B98" s="66"/>
      <c r="C98" s="66" t="s">
        <v>86</v>
      </c>
      <c r="D98" s="66"/>
      <c r="E98" s="66" t="s">
        <v>87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1:15" x14ac:dyDescent="0.25">
      <c r="A99" s="66"/>
      <c r="B99" s="66"/>
      <c r="C99" s="66"/>
      <c r="D99" s="66"/>
      <c r="E99" s="66" t="s">
        <v>88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1:15" x14ac:dyDescent="0.25">
      <c r="A100" s="66"/>
      <c r="B100" s="66"/>
      <c r="C100" s="66"/>
      <c r="D100" s="66"/>
      <c r="E100" s="66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1:15" x14ac:dyDescent="0.25">
      <c r="A101" s="66" t="s">
        <v>65</v>
      </c>
      <c r="B101" s="68" t="s">
        <v>66</v>
      </c>
      <c r="C101" s="66" t="s">
        <v>89</v>
      </c>
      <c r="D101" s="66" t="s">
        <v>68</v>
      </c>
      <c r="E101" s="66" t="s">
        <v>69</v>
      </c>
      <c r="F101" s="67">
        <v>25000000</v>
      </c>
      <c r="G101" s="67">
        <f>5993273.52+2815810.88</f>
        <v>8809084.3999999985</v>
      </c>
      <c r="H101" s="67">
        <f>4420805+1796000</f>
        <v>6216805</v>
      </c>
      <c r="I101" s="67">
        <f>+G101+H101</f>
        <v>15025889.399999999</v>
      </c>
      <c r="J101" s="67">
        <v>2816000</v>
      </c>
      <c r="K101" s="70">
        <v>1518000</v>
      </c>
      <c r="L101" s="67" t="e">
        <f>+J101+K101+#REF!</f>
        <v>#REF!</v>
      </c>
      <c r="M101" s="67">
        <f>+F101-G101-J101</f>
        <v>13374915.600000001</v>
      </c>
      <c r="N101" s="67">
        <v>3357000</v>
      </c>
      <c r="O101" s="67">
        <f>+M101+N101</f>
        <v>16731915.600000001</v>
      </c>
    </row>
    <row r="102" spans="1:15" x14ac:dyDescent="0.25">
      <c r="A102" s="66" t="s">
        <v>70</v>
      </c>
      <c r="B102" s="66"/>
      <c r="C102" s="66" t="s">
        <v>90</v>
      </c>
      <c r="D102" s="66"/>
      <c r="E102" s="66" t="s">
        <v>71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1:15" x14ac:dyDescent="0.25">
      <c r="A103" s="66"/>
      <c r="B103" s="66"/>
      <c r="C103" s="66"/>
      <c r="D103" s="66"/>
      <c r="E103" s="66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1:15" x14ac:dyDescent="0.25">
      <c r="A104" s="66" t="s">
        <v>65</v>
      </c>
      <c r="B104" s="68" t="s">
        <v>66</v>
      </c>
      <c r="C104" s="66" t="s">
        <v>91</v>
      </c>
      <c r="D104" s="66" t="s">
        <v>68</v>
      </c>
      <c r="E104" s="66" t="s">
        <v>73</v>
      </c>
      <c r="F104" s="67">
        <v>2000000</v>
      </c>
      <c r="G104" s="67">
        <f>499998.22+222222.2</f>
        <v>722220.41999999993</v>
      </c>
      <c r="H104" s="67">
        <f>350504+142000</f>
        <v>492504</v>
      </c>
      <c r="I104" s="67">
        <f>+G104+H104</f>
        <v>1214724.42</v>
      </c>
      <c r="J104" s="67">
        <v>223000</v>
      </c>
      <c r="K104" s="67">
        <v>120000</v>
      </c>
      <c r="L104" s="67" t="e">
        <f>+J104+K104+#REF!</f>
        <v>#REF!</v>
      </c>
      <c r="M104" s="67">
        <f>+F104-G104-J104</f>
        <v>1054779.58</v>
      </c>
      <c r="N104" s="67">
        <v>270000</v>
      </c>
      <c r="O104" s="67">
        <f>+M104+N104</f>
        <v>1324779.58</v>
      </c>
    </row>
    <row r="105" spans="1:15" x14ac:dyDescent="0.25">
      <c r="A105" s="66" t="s">
        <v>70</v>
      </c>
      <c r="B105" s="66"/>
      <c r="C105" s="66" t="s">
        <v>92</v>
      </c>
      <c r="D105" s="66"/>
      <c r="E105" s="66" t="s">
        <v>71</v>
      </c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1:15" x14ac:dyDescent="0.25">
      <c r="A106" s="66"/>
      <c r="B106" s="66"/>
      <c r="C106" s="66"/>
      <c r="D106" s="66"/>
      <c r="E106" s="66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5" x14ac:dyDescent="0.25">
      <c r="A107" s="66" t="s">
        <v>65</v>
      </c>
      <c r="B107" s="68" t="s">
        <v>66</v>
      </c>
      <c r="C107" s="66" t="s">
        <v>93</v>
      </c>
      <c r="D107" s="66" t="s">
        <v>68</v>
      </c>
      <c r="E107" s="66" t="s">
        <v>73</v>
      </c>
      <c r="F107" s="67">
        <v>20000000</v>
      </c>
      <c r="G107" s="67">
        <f>5010498.58+2220666.64</f>
        <v>7231165.2200000007</v>
      </c>
      <c r="H107" s="67">
        <f>3505025+1416000</f>
        <v>4921025</v>
      </c>
      <c r="I107" s="67">
        <f>+G107+H107</f>
        <v>12152190.220000001</v>
      </c>
      <c r="J107" s="67">
        <v>2223000</v>
      </c>
      <c r="K107" s="70">
        <v>1197000</v>
      </c>
      <c r="L107" s="67" t="e">
        <f>+J107+K107+#REF!</f>
        <v>#REF!</v>
      </c>
      <c r="M107" s="67">
        <f>+F107-G107-J107</f>
        <v>10545834.779999999</v>
      </c>
      <c r="N107" s="67">
        <v>2650000</v>
      </c>
      <c r="O107" s="67">
        <f>+M107+N107</f>
        <v>13195834.779999999</v>
      </c>
    </row>
    <row r="108" spans="1:15" x14ac:dyDescent="0.25">
      <c r="A108" s="66" t="s">
        <v>70</v>
      </c>
      <c r="B108" s="66"/>
      <c r="C108" s="66" t="s">
        <v>92</v>
      </c>
      <c r="D108" s="66"/>
      <c r="E108" s="66" t="s">
        <v>71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1:15" x14ac:dyDescent="0.25">
      <c r="A109" s="66"/>
      <c r="B109" s="66"/>
      <c r="C109" s="66"/>
      <c r="D109" s="66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1:15" x14ac:dyDescent="0.25">
      <c r="A110" s="66" t="s">
        <v>65</v>
      </c>
      <c r="B110" s="68" t="s">
        <v>66</v>
      </c>
      <c r="C110" s="66" t="s">
        <v>94</v>
      </c>
      <c r="D110" s="68" t="s">
        <v>76</v>
      </c>
      <c r="E110" s="66" t="s">
        <v>73</v>
      </c>
      <c r="F110" s="67">
        <v>4900000</v>
      </c>
      <c r="G110" s="67">
        <f>1152512.71+555183.04</f>
        <v>1707695.75</v>
      </c>
      <c r="H110" s="67">
        <f>879533+354000</f>
        <v>1233533</v>
      </c>
      <c r="I110" s="67">
        <f>+G110+H110</f>
        <v>2941228.75</v>
      </c>
      <c r="J110" s="67">
        <v>556000</v>
      </c>
      <c r="K110" s="67">
        <v>300000</v>
      </c>
      <c r="L110" s="67" t="e">
        <f>+J110+K110+#REF!</f>
        <v>#REF!</v>
      </c>
      <c r="M110" s="67">
        <f>+F110-G110-J110</f>
        <v>2636304.25</v>
      </c>
      <c r="N110" s="67">
        <v>662000</v>
      </c>
      <c r="O110" s="67">
        <f>+M110+N110</f>
        <v>3298304.25</v>
      </c>
    </row>
    <row r="111" spans="1:15" x14ac:dyDescent="0.25">
      <c r="A111" s="66" t="s">
        <v>70</v>
      </c>
      <c r="B111" s="66"/>
      <c r="C111" s="66"/>
      <c r="D111" s="66"/>
      <c r="E111" s="66" t="s">
        <v>71</v>
      </c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1:15" x14ac:dyDescent="0.25">
      <c r="A112" s="66"/>
      <c r="B112" s="66"/>
      <c r="C112" s="66"/>
      <c r="D112" s="66"/>
      <c r="E112" s="66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1:15" x14ac:dyDescent="0.25">
      <c r="A113" s="66" t="s">
        <v>65</v>
      </c>
      <c r="B113" s="68" t="s">
        <v>66</v>
      </c>
      <c r="C113" s="66" t="s">
        <v>95</v>
      </c>
      <c r="D113" s="68" t="s">
        <v>76</v>
      </c>
      <c r="E113" s="66" t="s">
        <v>73</v>
      </c>
      <c r="F113" s="67">
        <v>15000000</v>
      </c>
      <c r="G113" s="67">
        <f>3685742.17+1676185.88</f>
        <v>5361928.05</v>
      </c>
      <c r="H113" s="67">
        <f>2635686+1069000</f>
        <v>3704686</v>
      </c>
      <c r="I113" s="67">
        <f>+G113+H113</f>
        <v>9066614.0500000007</v>
      </c>
      <c r="J113" s="67">
        <v>1677000</v>
      </c>
      <c r="K113" s="70">
        <v>904000</v>
      </c>
      <c r="L113" s="67" t="e">
        <f>+J113+K113+#REF!</f>
        <v>#REF!</v>
      </c>
      <c r="M113" s="67">
        <f>+F113-G113-J113</f>
        <v>7961071.9499999993</v>
      </c>
      <c r="N113" s="67">
        <v>1998000</v>
      </c>
      <c r="O113" s="67">
        <f>+M113+N113</f>
        <v>9959071.9499999993</v>
      </c>
    </row>
    <row r="114" spans="1:15" x14ac:dyDescent="0.25">
      <c r="A114" s="66"/>
      <c r="B114" s="66"/>
      <c r="C114" s="66" t="s">
        <v>96</v>
      </c>
      <c r="D114" s="66"/>
      <c r="E114" s="66" t="s">
        <v>71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1:15" x14ac:dyDescent="0.25">
      <c r="A115" s="71" t="s">
        <v>36</v>
      </c>
      <c r="B115" s="72"/>
      <c r="C115" s="72"/>
      <c r="D115" s="72"/>
      <c r="E115" s="71"/>
      <c r="F115" s="73">
        <f t="shared" ref="F115:L115" si="2">SUM(F93:F114)</f>
        <v>110300366.41</v>
      </c>
      <c r="G115" s="73">
        <f t="shared" si="2"/>
        <v>56533217.959999993</v>
      </c>
      <c r="H115" s="73">
        <f t="shared" si="2"/>
        <v>22911490</v>
      </c>
      <c r="I115" s="73">
        <f t="shared" si="2"/>
        <v>79444707.959999993</v>
      </c>
      <c r="J115" s="73">
        <f t="shared" si="2"/>
        <v>14088000</v>
      </c>
      <c r="K115" s="73">
        <f t="shared" si="2"/>
        <v>4907000</v>
      </c>
      <c r="L115" s="73" t="e">
        <f t="shared" si="2"/>
        <v>#REF!</v>
      </c>
      <c r="M115" s="73">
        <f t="shared" ref="M115:O115" si="3">SUM(M93:M114)</f>
        <v>39680142.450000003</v>
      </c>
      <c r="N115" s="73">
        <f t="shared" si="3"/>
        <v>9157000</v>
      </c>
      <c r="O115" s="73">
        <f t="shared" si="3"/>
        <v>48837142.450000003</v>
      </c>
    </row>
    <row r="116" spans="1:15" x14ac:dyDescent="0.2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x14ac:dyDescent="0.25">
      <c r="A117" s="74" t="s">
        <v>78</v>
      </c>
      <c r="B117" s="75"/>
      <c r="C117" s="75"/>
      <c r="D117" s="75"/>
      <c r="E117" s="75"/>
      <c r="F117" s="75"/>
      <c r="G117" s="75"/>
      <c r="H117" s="75"/>
      <c r="I117" s="75"/>
      <c r="J117" s="75" t="s">
        <v>79</v>
      </c>
      <c r="K117" s="75"/>
      <c r="L117" s="75"/>
      <c r="M117" s="75"/>
      <c r="N117" s="75"/>
      <c r="O117" s="76"/>
    </row>
    <row r="118" spans="1:15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1:15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1:15" x14ac:dyDescent="0.25">
      <c r="A120" s="75" t="s">
        <v>97</v>
      </c>
      <c r="B120" s="75"/>
      <c r="C120" s="75"/>
      <c r="D120" s="75"/>
      <c r="E120" s="75"/>
      <c r="F120" s="75"/>
      <c r="G120" s="75"/>
      <c r="H120" s="75"/>
      <c r="I120" s="75"/>
      <c r="J120" s="75" t="s">
        <v>98</v>
      </c>
      <c r="K120" s="75"/>
      <c r="L120" s="75"/>
      <c r="M120" s="75"/>
      <c r="N120" s="75"/>
      <c r="O120" s="75"/>
    </row>
    <row r="121" spans="1:15" x14ac:dyDescent="0.25">
      <c r="A121" s="75" t="s">
        <v>99</v>
      </c>
      <c r="B121" s="75"/>
      <c r="C121" s="75"/>
      <c r="D121" s="75"/>
      <c r="E121" s="75"/>
      <c r="F121" s="75"/>
      <c r="G121" s="75"/>
      <c r="H121" s="75"/>
      <c r="I121" s="75"/>
      <c r="J121" s="75" t="s">
        <v>81</v>
      </c>
      <c r="K121" s="75"/>
      <c r="L121" s="75"/>
      <c r="M121" s="75"/>
      <c r="N121" s="75"/>
      <c r="O121" s="75"/>
    </row>
    <row r="122" spans="1:15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34" spans="1:15" x14ac:dyDescent="0.25">
      <c r="A134" s="128" t="s">
        <v>48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59"/>
      <c r="N134" s="59"/>
      <c r="O134" s="59"/>
    </row>
    <row r="135" spans="1:15" x14ac:dyDescent="0.25">
      <c r="A135" s="128" t="s">
        <v>100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59"/>
      <c r="N135" s="59"/>
      <c r="O135" s="59"/>
    </row>
    <row r="136" spans="1:15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x14ac:dyDescent="0.25">
      <c r="A137" s="128" t="s">
        <v>50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59"/>
      <c r="N137" s="59"/>
      <c r="O137" s="59"/>
    </row>
    <row r="138" spans="1:15" x14ac:dyDescent="0.2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1:15" x14ac:dyDescent="0.25">
      <c r="A139" s="60"/>
      <c r="B139" s="61"/>
      <c r="C139" s="61"/>
      <c r="D139" s="61"/>
      <c r="E139" s="61"/>
      <c r="F139" s="61"/>
      <c r="G139" s="138" t="s">
        <v>51</v>
      </c>
      <c r="H139" s="139"/>
      <c r="I139" s="140"/>
      <c r="J139" s="138" t="s">
        <v>52</v>
      </c>
      <c r="K139" s="139"/>
      <c r="L139" s="139"/>
      <c r="M139" s="141"/>
      <c r="N139" s="142"/>
      <c r="O139" s="143"/>
    </row>
    <row r="140" spans="1:15" x14ac:dyDescent="0.25">
      <c r="A140" s="62"/>
      <c r="B140" s="62" t="s">
        <v>53</v>
      </c>
      <c r="C140" s="62" t="s">
        <v>54</v>
      </c>
      <c r="D140" s="62"/>
      <c r="E140" s="62"/>
      <c r="F140" s="62" t="s">
        <v>55</v>
      </c>
      <c r="G140" s="144" t="s">
        <v>56</v>
      </c>
      <c r="H140" s="145"/>
      <c r="I140" s="146"/>
      <c r="J140" s="144" t="s">
        <v>57</v>
      </c>
      <c r="K140" s="145"/>
      <c r="L140" s="145"/>
      <c r="M140" s="147" t="s">
        <v>58</v>
      </c>
      <c r="N140" s="148"/>
      <c r="O140" s="149"/>
    </row>
    <row r="141" spans="1:15" x14ac:dyDescent="0.25">
      <c r="A141" s="63" t="s">
        <v>59</v>
      </c>
      <c r="B141" s="63" t="s">
        <v>60</v>
      </c>
      <c r="C141" s="63" t="s">
        <v>61</v>
      </c>
      <c r="D141" s="63"/>
      <c r="E141" s="63" t="s">
        <v>62</v>
      </c>
      <c r="F141" s="63" t="s">
        <v>63</v>
      </c>
      <c r="G141" s="64" t="s">
        <v>55</v>
      </c>
      <c r="H141" s="64" t="s">
        <v>64</v>
      </c>
      <c r="I141" s="64" t="s">
        <v>36</v>
      </c>
      <c r="J141" s="64" t="s">
        <v>55</v>
      </c>
      <c r="K141" s="64" t="s">
        <v>64</v>
      </c>
      <c r="L141" s="65" t="s">
        <v>36</v>
      </c>
      <c r="M141" s="64" t="s">
        <v>55</v>
      </c>
      <c r="N141" s="64" t="s">
        <v>64</v>
      </c>
      <c r="O141" s="64" t="s">
        <v>36</v>
      </c>
    </row>
    <row r="142" spans="1:15" x14ac:dyDescent="0.25">
      <c r="A142" s="77" t="s">
        <v>65</v>
      </c>
      <c r="B142" s="78" t="s">
        <v>101</v>
      </c>
      <c r="C142" s="77" t="s">
        <v>102</v>
      </c>
      <c r="D142" s="77" t="s">
        <v>68</v>
      </c>
      <c r="E142" s="77" t="s">
        <v>103</v>
      </c>
      <c r="F142" s="79">
        <v>7798060</v>
      </c>
      <c r="G142" s="79">
        <f>5570045+1114009</f>
        <v>6684054</v>
      </c>
      <c r="H142" s="79">
        <f>669553+185000</f>
        <v>854553</v>
      </c>
      <c r="I142" s="79">
        <f>+G142+H142</f>
        <v>7538607</v>
      </c>
      <c r="J142" s="79">
        <v>1115000</v>
      </c>
      <c r="K142" s="79">
        <v>112000</v>
      </c>
      <c r="L142" s="79" t="e">
        <f>+J142+K142+#REF!</f>
        <v>#REF!</v>
      </c>
      <c r="M142" s="67">
        <v>1113015</v>
      </c>
      <c r="N142" s="67">
        <v>74500</v>
      </c>
      <c r="O142" s="67">
        <f>+M142+N142</f>
        <v>1187515</v>
      </c>
    </row>
    <row r="143" spans="1:15" x14ac:dyDescent="0.25">
      <c r="A143" s="66" t="s">
        <v>70</v>
      </c>
      <c r="B143" s="80"/>
      <c r="C143" s="81" t="s">
        <v>104</v>
      </c>
      <c r="D143" s="81"/>
      <c r="E143" s="66" t="s">
        <v>105</v>
      </c>
      <c r="F143" s="67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1:15" x14ac:dyDescent="0.25">
      <c r="A144" s="66"/>
      <c r="B144" s="66"/>
      <c r="C144" s="66"/>
      <c r="D144" s="66"/>
      <c r="E144" s="66" t="s">
        <v>106</v>
      </c>
      <c r="F144" s="67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1:15" x14ac:dyDescent="0.25">
      <c r="A145" s="66"/>
      <c r="B145" s="66"/>
      <c r="C145" s="66"/>
      <c r="D145" s="66"/>
      <c r="E145" s="66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1:15" x14ac:dyDescent="0.25">
      <c r="A146" s="66" t="s">
        <v>65</v>
      </c>
      <c r="B146" s="68" t="s">
        <v>83</v>
      </c>
      <c r="C146" s="66" t="s">
        <v>84</v>
      </c>
      <c r="D146" s="69" t="s">
        <v>76</v>
      </c>
      <c r="E146" s="66" t="s">
        <v>85</v>
      </c>
      <c r="F146" s="67">
        <f>35602306.41</f>
        <v>35602306.409999996</v>
      </c>
      <c r="G146" s="67">
        <f>20539792.2+5477277.92</f>
        <v>26017070.119999997</v>
      </c>
      <c r="H146" s="67">
        <f>4187384+1301000</f>
        <v>5488384</v>
      </c>
      <c r="I146" s="67">
        <f>+G146+H146</f>
        <v>31505454.119999997</v>
      </c>
      <c r="J146" s="67">
        <v>5478000</v>
      </c>
      <c r="K146" s="67">
        <v>756000</v>
      </c>
      <c r="L146" s="67" t="e">
        <f>+J146+K146+#REF!</f>
        <v>#REF!</v>
      </c>
      <c r="M146" s="67">
        <v>9584514.2100000009</v>
      </c>
      <c r="N146" s="67">
        <v>961600</v>
      </c>
      <c r="O146" s="67">
        <f>+M146+N146</f>
        <v>10546114.210000001</v>
      </c>
    </row>
    <row r="147" spans="1:15" x14ac:dyDescent="0.25">
      <c r="A147" s="66" t="s">
        <v>70</v>
      </c>
      <c r="B147" s="66"/>
      <c r="C147" s="66" t="s">
        <v>86</v>
      </c>
      <c r="D147" s="66"/>
      <c r="E147" s="66" t="s">
        <v>87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1:15" x14ac:dyDescent="0.25">
      <c r="A148" s="66"/>
      <c r="B148" s="66"/>
      <c r="C148" s="66"/>
      <c r="D148" s="66"/>
      <c r="E148" s="66" t="s">
        <v>88</v>
      </c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15" x14ac:dyDescent="0.25">
      <c r="A149" s="66"/>
      <c r="B149" s="66"/>
      <c r="C149" s="66"/>
      <c r="D149" s="66"/>
      <c r="E149" s="66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1:15" x14ac:dyDescent="0.25">
      <c r="A150" s="66" t="s">
        <v>65</v>
      </c>
      <c r="B150" s="68" t="s">
        <v>66</v>
      </c>
      <c r="C150" s="66" t="s">
        <v>89</v>
      </c>
      <c r="D150" s="66" t="s">
        <v>68</v>
      </c>
      <c r="E150" s="66" t="s">
        <v>69</v>
      </c>
      <c r="F150" s="67">
        <v>25000000</v>
      </c>
      <c r="G150" s="67">
        <f>5993273.52+2815810.88</f>
        <v>8809084.3999999985</v>
      </c>
      <c r="H150" s="67">
        <f>4420805+1796000</f>
        <v>6216805</v>
      </c>
      <c r="I150" s="67">
        <f>+G150+H150</f>
        <v>15025889.399999999</v>
      </c>
      <c r="J150" s="67">
        <v>2816000</v>
      </c>
      <c r="K150" s="70">
        <v>1518000</v>
      </c>
      <c r="L150" s="67" t="e">
        <f>+J150+K150+#REF!</f>
        <v>#REF!</v>
      </c>
      <c r="M150" s="67">
        <v>16190726.48</v>
      </c>
      <c r="N150" s="67">
        <v>4873700</v>
      </c>
      <c r="O150" s="67">
        <f>+M150+N150</f>
        <v>21064426.48</v>
      </c>
    </row>
    <row r="151" spans="1:15" x14ac:dyDescent="0.25">
      <c r="A151" s="66" t="s">
        <v>70</v>
      </c>
      <c r="B151" s="66"/>
      <c r="C151" s="66" t="s">
        <v>90</v>
      </c>
      <c r="D151" s="66"/>
      <c r="E151" s="66" t="s">
        <v>71</v>
      </c>
      <c r="F151" s="67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1:15" x14ac:dyDescent="0.25">
      <c r="A152" s="66"/>
      <c r="B152" s="66"/>
      <c r="C152" s="66"/>
      <c r="D152" s="66"/>
      <c r="E152" s="66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x14ac:dyDescent="0.25">
      <c r="A153" s="66" t="s">
        <v>65</v>
      </c>
      <c r="B153" s="68" t="s">
        <v>66</v>
      </c>
      <c r="C153" s="66" t="s">
        <v>91</v>
      </c>
      <c r="D153" s="66" t="s">
        <v>68</v>
      </c>
      <c r="E153" s="66" t="s">
        <v>73</v>
      </c>
      <c r="F153" s="67">
        <v>2000000</v>
      </c>
      <c r="G153" s="67">
        <f>499998.22+222222.2</f>
        <v>722220.41999999993</v>
      </c>
      <c r="H153" s="67">
        <f>350504+142000</f>
        <v>492504</v>
      </c>
      <c r="I153" s="67">
        <f>+G153+H153</f>
        <v>1214724.42</v>
      </c>
      <c r="J153" s="67">
        <v>223000</v>
      </c>
      <c r="K153" s="67">
        <v>120000</v>
      </c>
      <c r="L153" s="67" t="e">
        <f>+J153+K153+#REF!</f>
        <v>#REF!</v>
      </c>
      <c r="M153" s="67">
        <v>1277001.78</v>
      </c>
      <c r="N153" s="67">
        <v>384200</v>
      </c>
      <c r="O153" s="67">
        <f>+M153+N153</f>
        <v>1661201.78</v>
      </c>
    </row>
    <row r="154" spans="1:15" x14ac:dyDescent="0.25">
      <c r="A154" s="66" t="s">
        <v>70</v>
      </c>
      <c r="B154" s="66"/>
      <c r="C154" s="66" t="s">
        <v>92</v>
      </c>
      <c r="D154" s="66"/>
      <c r="E154" s="66" t="s">
        <v>71</v>
      </c>
      <c r="F154" s="67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1:15" x14ac:dyDescent="0.25">
      <c r="A155" s="66"/>
      <c r="B155" s="66"/>
      <c r="C155" s="66"/>
      <c r="D155" s="66"/>
      <c r="E155" s="66"/>
      <c r="F155" s="67"/>
      <c r="G155" s="67"/>
      <c r="H155" s="67"/>
      <c r="I155" s="67"/>
      <c r="J155" s="67"/>
      <c r="K155" s="67"/>
      <c r="L155" s="67"/>
      <c r="M155" s="67"/>
      <c r="N155" s="67"/>
      <c r="O155" s="67"/>
    </row>
    <row r="156" spans="1:15" x14ac:dyDescent="0.25">
      <c r="A156" s="66" t="s">
        <v>65</v>
      </c>
      <c r="B156" s="68" t="s">
        <v>66</v>
      </c>
      <c r="C156" s="66" t="s">
        <v>93</v>
      </c>
      <c r="D156" s="66" t="s">
        <v>68</v>
      </c>
      <c r="E156" s="66" t="s">
        <v>73</v>
      </c>
      <c r="F156" s="67">
        <v>20000000</v>
      </c>
      <c r="G156" s="67">
        <f>5010498.58+2220666.64</f>
        <v>7231165.2200000007</v>
      </c>
      <c r="H156" s="67">
        <f>3505025+1416000</f>
        <v>4921025</v>
      </c>
      <c r="I156" s="67">
        <f>+G156+H156</f>
        <v>12152190.220000001</v>
      </c>
      <c r="J156" s="67">
        <v>2223000</v>
      </c>
      <c r="K156" s="70">
        <v>1197000</v>
      </c>
      <c r="L156" s="67" t="e">
        <f>+J156+K156+#REF!</f>
        <v>#REF!</v>
      </c>
      <c r="M156" s="67">
        <v>12766501.42</v>
      </c>
      <c r="N156" s="67">
        <v>3843600</v>
      </c>
      <c r="O156" s="67">
        <f>+M156+N156</f>
        <v>16610101.42</v>
      </c>
    </row>
    <row r="157" spans="1:15" x14ac:dyDescent="0.25">
      <c r="A157" s="66" t="s">
        <v>70</v>
      </c>
      <c r="B157" s="66"/>
      <c r="C157" s="66" t="s">
        <v>92</v>
      </c>
      <c r="D157" s="66"/>
      <c r="E157" s="66" t="s">
        <v>71</v>
      </c>
      <c r="F157" s="67"/>
      <c r="G157" s="67"/>
      <c r="H157" s="67"/>
      <c r="I157" s="67"/>
      <c r="J157" s="67"/>
      <c r="K157" s="67"/>
      <c r="L157" s="67"/>
      <c r="M157" s="67"/>
      <c r="N157" s="67"/>
      <c r="O157" s="67"/>
    </row>
    <row r="158" spans="1:15" x14ac:dyDescent="0.25">
      <c r="A158" s="66"/>
      <c r="B158" s="66"/>
      <c r="C158" s="66"/>
      <c r="D158" s="66"/>
      <c r="E158" s="66"/>
      <c r="F158" s="67"/>
      <c r="G158" s="67"/>
      <c r="H158" s="67"/>
      <c r="I158" s="67"/>
      <c r="J158" s="67"/>
      <c r="K158" s="67"/>
      <c r="L158" s="67"/>
      <c r="M158" s="67"/>
      <c r="N158" s="67"/>
      <c r="O158" s="67"/>
    </row>
    <row r="159" spans="1:15" x14ac:dyDescent="0.25">
      <c r="A159" s="66" t="s">
        <v>65</v>
      </c>
      <c r="B159" s="68" t="s">
        <v>66</v>
      </c>
      <c r="C159" s="66" t="s">
        <v>94</v>
      </c>
      <c r="D159" s="68" t="s">
        <v>76</v>
      </c>
      <c r="E159" s="66" t="s">
        <v>73</v>
      </c>
      <c r="F159" s="67">
        <v>4900000</v>
      </c>
      <c r="G159" s="67">
        <f>1152512.71+555183.04</f>
        <v>1707695.75</v>
      </c>
      <c r="H159" s="67">
        <f>879533+354000</f>
        <v>1233533</v>
      </c>
      <c r="I159" s="67">
        <f>+G159+H159</f>
        <v>2941228.75</v>
      </c>
      <c r="J159" s="67">
        <v>556000</v>
      </c>
      <c r="K159" s="67">
        <v>300000</v>
      </c>
      <c r="L159" s="67" t="e">
        <f>+J159+K159+#REF!</f>
        <v>#REF!</v>
      </c>
      <c r="M159" s="67">
        <v>3191487.29</v>
      </c>
      <c r="N159" s="67">
        <v>960700</v>
      </c>
      <c r="O159" s="67">
        <f>+M159+N159</f>
        <v>4152187.29</v>
      </c>
    </row>
    <row r="160" spans="1:15" x14ac:dyDescent="0.25">
      <c r="A160" s="66" t="s">
        <v>70</v>
      </c>
      <c r="B160" s="66"/>
      <c r="C160" s="66"/>
      <c r="D160" s="66"/>
      <c r="E160" s="66" t="s">
        <v>71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7"/>
    </row>
    <row r="161" spans="1:15" x14ac:dyDescent="0.25">
      <c r="A161" s="66"/>
      <c r="B161" s="66"/>
      <c r="C161" s="66"/>
      <c r="D161" s="66"/>
      <c r="E161" s="66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 x14ac:dyDescent="0.25">
      <c r="A162" s="66" t="s">
        <v>65</v>
      </c>
      <c r="B162" s="68" t="s">
        <v>66</v>
      </c>
      <c r="C162" s="66" t="s">
        <v>95</v>
      </c>
      <c r="D162" s="68" t="s">
        <v>76</v>
      </c>
      <c r="E162" s="66" t="s">
        <v>73</v>
      </c>
      <c r="F162" s="67">
        <v>15000000</v>
      </c>
      <c r="G162" s="67">
        <f>3685742.17+1676185.88</f>
        <v>5361928.05</v>
      </c>
      <c r="H162" s="67">
        <f>2635686+1069000</f>
        <v>3704686</v>
      </c>
      <c r="I162" s="67">
        <f>+G162+H162</f>
        <v>9066614.0500000007</v>
      </c>
      <c r="J162" s="67">
        <v>1677000</v>
      </c>
      <c r="K162" s="70">
        <v>904000</v>
      </c>
      <c r="L162" s="67" t="e">
        <f>+J162+K162+#REF!</f>
        <v>#REF!</v>
      </c>
      <c r="M162" s="67">
        <v>9637257.8300000001</v>
      </c>
      <c r="N162" s="67">
        <v>2901200</v>
      </c>
      <c r="O162" s="67">
        <f>+M162+N162</f>
        <v>12538457.83</v>
      </c>
    </row>
    <row r="163" spans="1:15" x14ac:dyDescent="0.25">
      <c r="A163" s="66"/>
      <c r="B163" s="66"/>
      <c r="C163" s="66" t="s">
        <v>96</v>
      </c>
      <c r="D163" s="66"/>
      <c r="E163" s="66" t="s">
        <v>71</v>
      </c>
      <c r="F163" s="67"/>
      <c r="G163" s="67"/>
      <c r="H163" s="67"/>
      <c r="I163" s="67"/>
      <c r="J163" s="67"/>
      <c r="K163" s="67"/>
      <c r="L163" s="67"/>
      <c r="M163" s="67"/>
      <c r="N163" s="67"/>
      <c r="O163" s="67"/>
    </row>
    <row r="164" spans="1:15" x14ac:dyDescent="0.25">
      <c r="A164" s="71" t="s">
        <v>36</v>
      </c>
      <c r="B164" s="72"/>
      <c r="C164" s="72"/>
      <c r="D164" s="72"/>
      <c r="E164" s="71"/>
      <c r="F164" s="73">
        <f t="shared" ref="F164:O164" si="4">SUM(F142:F163)</f>
        <v>110300366.41</v>
      </c>
      <c r="G164" s="73">
        <f t="shared" si="4"/>
        <v>56533217.959999993</v>
      </c>
      <c r="H164" s="73">
        <f t="shared" si="4"/>
        <v>22911490</v>
      </c>
      <c r="I164" s="73">
        <f t="shared" si="4"/>
        <v>79444707.959999993</v>
      </c>
      <c r="J164" s="73">
        <f t="shared" si="4"/>
        <v>14088000</v>
      </c>
      <c r="K164" s="73">
        <f t="shared" si="4"/>
        <v>4907000</v>
      </c>
      <c r="L164" s="73" t="e">
        <f t="shared" si="4"/>
        <v>#REF!</v>
      </c>
      <c r="M164" s="73">
        <f t="shared" si="4"/>
        <v>53760504.009999998</v>
      </c>
      <c r="N164" s="73">
        <f t="shared" si="4"/>
        <v>13999500</v>
      </c>
      <c r="O164" s="73">
        <f t="shared" si="4"/>
        <v>67760004.010000005</v>
      </c>
    </row>
    <row r="165" spans="1:15" x14ac:dyDescent="0.25">
      <c r="A165" s="74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1:15" x14ac:dyDescent="0.25">
      <c r="A166" s="74" t="s">
        <v>78</v>
      </c>
      <c r="B166" s="75"/>
      <c r="C166" s="75"/>
      <c r="D166" s="75"/>
      <c r="E166" s="75"/>
      <c r="F166" s="75"/>
      <c r="G166" s="75"/>
      <c r="H166" s="75"/>
      <c r="I166" s="75"/>
      <c r="J166" s="75" t="s">
        <v>79</v>
      </c>
      <c r="K166" s="75"/>
      <c r="L166" s="75"/>
      <c r="M166" s="75"/>
      <c r="N166" s="75"/>
      <c r="O166" s="76"/>
    </row>
    <row r="167" spans="1:15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1:15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x14ac:dyDescent="0.25">
      <c r="A169" s="75" t="s">
        <v>97</v>
      </c>
      <c r="B169" s="75"/>
      <c r="C169" s="75"/>
      <c r="D169" s="75"/>
      <c r="E169" s="75"/>
      <c r="F169" s="75"/>
      <c r="G169" s="75"/>
      <c r="H169" s="75"/>
      <c r="I169" s="75"/>
      <c r="J169" s="75" t="s">
        <v>98</v>
      </c>
      <c r="K169" s="75"/>
      <c r="L169" s="75"/>
      <c r="M169" s="75"/>
      <c r="N169" s="75"/>
      <c r="O169" s="75"/>
    </row>
    <row r="170" spans="1:15" x14ac:dyDescent="0.25">
      <c r="A170" s="75" t="s">
        <v>99</v>
      </c>
      <c r="B170" s="75"/>
      <c r="C170" s="75"/>
      <c r="D170" s="75"/>
      <c r="E170" s="75"/>
      <c r="F170" s="75"/>
      <c r="G170" s="75"/>
      <c r="H170" s="75"/>
      <c r="I170" s="75"/>
      <c r="J170" s="75" t="s">
        <v>81</v>
      </c>
      <c r="K170" s="75"/>
      <c r="L170" s="75"/>
      <c r="M170" s="75"/>
      <c r="N170" s="75"/>
      <c r="O170" s="75"/>
    </row>
    <row r="171" spans="1:15" x14ac:dyDescent="0.2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</sheetData>
  <mergeCells count="45">
    <mergeCell ref="A138:O138"/>
    <mergeCell ref="G139:I139"/>
    <mergeCell ref="J139:L139"/>
    <mergeCell ref="M139:O139"/>
    <mergeCell ref="G140:I140"/>
    <mergeCell ref="J140:L140"/>
    <mergeCell ref="M140:O140"/>
    <mergeCell ref="A137:L137"/>
    <mergeCell ref="A85:L85"/>
    <mergeCell ref="A86:L86"/>
    <mergeCell ref="A88:L88"/>
    <mergeCell ref="A89:O89"/>
    <mergeCell ref="G90:I90"/>
    <mergeCell ref="J90:L90"/>
    <mergeCell ref="M90:O90"/>
    <mergeCell ref="G91:I91"/>
    <mergeCell ref="J91:L91"/>
    <mergeCell ref="M91:O91"/>
    <mergeCell ref="A134:L134"/>
    <mergeCell ref="A135:L135"/>
    <mergeCell ref="G45:I45"/>
    <mergeCell ref="J45:L45"/>
    <mergeCell ref="M45:O45"/>
    <mergeCell ref="G46:I46"/>
    <mergeCell ref="J46:L46"/>
    <mergeCell ref="M46:O46"/>
    <mergeCell ref="A44:O44"/>
    <mergeCell ref="G7:I7"/>
    <mergeCell ref="J7:L7"/>
    <mergeCell ref="M7:O7"/>
    <mergeCell ref="C10:C12"/>
    <mergeCell ref="C13:C15"/>
    <mergeCell ref="C16:C18"/>
    <mergeCell ref="C19:C20"/>
    <mergeCell ref="C22:C23"/>
    <mergeCell ref="A40:L40"/>
    <mergeCell ref="A41:L41"/>
    <mergeCell ref="A43:L43"/>
    <mergeCell ref="A1:O1"/>
    <mergeCell ref="A2:O2"/>
    <mergeCell ref="A4:O4"/>
    <mergeCell ref="A5:O5"/>
    <mergeCell ref="G6:I6"/>
    <mergeCell ref="J6:L6"/>
    <mergeCell ref="M6:O6"/>
  </mergeCells>
  <pageMargins left="0.2" right="0.2" top="0.5" bottom="0.5" header="0.3" footer="0.3"/>
  <pageSetup paperSize="25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opLeftCell="A25" zoomScale="130" zoomScaleNormal="130" workbookViewId="0">
      <selection activeCell="D41" sqref="D41"/>
    </sheetView>
  </sheetViews>
  <sheetFormatPr defaultRowHeight="15" x14ac:dyDescent="0.25"/>
  <cols>
    <col min="1" max="1" width="1.5703125" customWidth="1"/>
    <col min="2" max="2" width="1.85546875" customWidth="1"/>
    <col min="3" max="3" width="26.140625" customWidth="1"/>
    <col min="4" max="4" width="12" customWidth="1"/>
    <col min="5" max="5" width="12.7109375" customWidth="1"/>
    <col min="6" max="6" width="3" customWidth="1"/>
    <col min="7" max="7" width="11.85546875" customWidth="1"/>
    <col min="8" max="8" width="9.85546875" customWidth="1"/>
    <col min="9" max="10" width="12.7109375" customWidth="1"/>
    <col min="14" max="14" width="13" customWidth="1"/>
  </cols>
  <sheetData>
    <row r="1" spans="1:10" ht="18" customHeight="1" x14ac:dyDescent="0.35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customHeight="1" x14ac:dyDescent="0.35">
      <c r="A2" s="120" t="s">
        <v>46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" customHeight="1" x14ac:dyDescent="0.35">
      <c r="A3" s="120" t="s">
        <v>45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" customHeight="1" x14ac:dyDescent="0.3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" customHeight="1" x14ac:dyDescent="0.3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35">
      <c r="A8" s="1" t="s">
        <v>42</v>
      </c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 x14ac:dyDescent="0.35">
      <c r="A10" s="19"/>
      <c r="B10" s="18"/>
      <c r="C10" s="28"/>
      <c r="D10" s="112" t="s">
        <v>41</v>
      </c>
      <c r="E10" s="113"/>
      <c r="F10" s="114" t="s">
        <v>40</v>
      </c>
      <c r="G10" s="38" t="s">
        <v>39</v>
      </c>
      <c r="H10" s="38" t="s">
        <v>38</v>
      </c>
      <c r="I10" s="38" t="s">
        <v>37</v>
      </c>
      <c r="J10" s="38" t="s">
        <v>36</v>
      </c>
    </row>
    <row r="11" spans="1:10" ht="18" customHeight="1" x14ac:dyDescent="0.35">
      <c r="A11" s="117" t="s">
        <v>35</v>
      </c>
      <c r="B11" s="118"/>
      <c r="C11" s="119"/>
      <c r="D11" s="38" t="s">
        <v>34</v>
      </c>
      <c r="E11" s="38" t="s">
        <v>33</v>
      </c>
      <c r="F11" s="115"/>
      <c r="G11" s="34" t="s">
        <v>32</v>
      </c>
      <c r="H11" s="34" t="s">
        <v>31</v>
      </c>
      <c r="I11" s="34" t="s">
        <v>30</v>
      </c>
      <c r="J11" s="34"/>
    </row>
    <row r="12" spans="1:10" ht="18" customHeight="1" x14ac:dyDescent="0.35">
      <c r="A12" s="41"/>
      <c r="B12" s="40"/>
      <c r="C12" s="39"/>
      <c r="D12" s="34" t="s">
        <v>29</v>
      </c>
      <c r="E12" s="34"/>
      <c r="F12" s="115"/>
      <c r="G12" s="34"/>
      <c r="H12" s="34" t="s">
        <v>28</v>
      </c>
      <c r="I12" s="34" t="s">
        <v>27</v>
      </c>
      <c r="J12" s="34"/>
    </row>
    <row r="13" spans="1:10" ht="18" customHeight="1" x14ac:dyDescent="0.35">
      <c r="A13" s="33"/>
      <c r="B13" s="32"/>
      <c r="C13" s="31"/>
      <c r="D13" s="30" t="s">
        <v>26</v>
      </c>
      <c r="E13" s="30">
        <v>0.7</v>
      </c>
      <c r="F13" s="116"/>
      <c r="G13" s="29"/>
      <c r="H13" s="29"/>
      <c r="I13" s="29"/>
      <c r="J13" s="29"/>
    </row>
    <row r="14" spans="1:10" ht="18" customHeight="1" x14ac:dyDescent="0.35">
      <c r="A14" s="9" t="s">
        <v>25</v>
      </c>
      <c r="B14" s="8" t="s">
        <v>24</v>
      </c>
      <c r="C14" s="7"/>
      <c r="D14" s="15"/>
      <c r="E14" s="15"/>
      <c r="F14" s="15"/>
      <c r="G14" s="15"/>
      <c r="H14" s="15"/>
      <c r="I14" s="15"/>
      <c r="J14" s="15"/>
    </row>
    <row r="15" spans="1:10" ht="18" customHeight="1" x14ac:dyDescent="0.35">
      <c r="A15" s="14"/>
      <c r="B15" s="13"/>
      <c r="C15" s="12" t="s">
        <v>23</v>
      </c>
      <c r="D15" s="5">
        <v>4578742</v>
      </c>
      <c r="E15" s="5">
        <v>10683731</v>
      </c>
      <c r="F15" s="5"/>
      <c r="G15" s="5"/>
      <c r="H15" s="5"/>
      <c r="I15" s="5"/>
      <c r="J15" s="5">
        <f>SUM(D15:I15)</f>
        <v>15262473</v>
      </c>
    </row>
    <row r="16" spans="1:10" ht="18" customHeight="1" x14ac:dyDescent="0.35">
      <c r="A16" s="19"/>
      <c r="B16" s="18"/>
      <c r="C16" s="28" t="s">
        <v>22</v>
      </c>
      <c r="D16" s="17"/>
      <c r="E16" s="17"/>
      <c r="F16" s="17"/>
      <c r="G16" s="17">
        <v>5871670.5</v>
      </c>
      <c r="H16" s="17"/>
      <c r="I16" s="17"/>
      <c r="J16" s="5">
        <f>SUM(D16:I16)</f>
        <v>5871670.5</v>
      </c>
    </row>
    <row r="17" spans="1:10" ht="18" customHeight="1" x14ac:dyDescent="0.35">
      <c r="A17" s="14"/>
      <c r="B17" s="13"/>
      <c r="C17" s="12" t="s">
        <v>21</v>
      </c>
      <c r="D17" s="27"/>
      <c r="E17" s="5"/>
      <c r="F17" s="5"/>
      <c r="G17" s="5"/>
      <c r="H17" s="5"/>
      <c r="I17" s="26">
        <v>6890200.3399999999</v>
      </c>
      <c r="J17" s="5">
        <f>SUM(D17:I17)</f>
        <v>6890200.3399999999</v>
      </c>
    </row>
    <row r="18" spans="1:10" ht="18" customHeight="1" x14ac:dyDescent="0.35">
      <c r="A18" s="9"/>
      <c r="B18" s="8"/>
      <c r="C18" s="7" t="s">
        <v>20</v>
      </c>
      <c r="D18" s="15"/>
      <c r="E18" s="15"/>
      <c r="F18" s="15"/>
      <c r="G18" s="15"/>
      <c r="H18" s="15"/>
      <c r="I18" s="15"/>
      <c r="J18" s="5">
        <f>SUM(D18:I18)</f>
        <v>0</v>
      </c>
    </row>
    <row r="19" spans="1:10" ht="18" customHeight="1" x14ac:dyDescent="0.35">
      <c r="A19" s="14"/>
      <c r="B19" s="13" t="s">
        <v>19</v>
      </c>
      <c r="C19" s="12"/>
      <c r="D19" s="5">
        <f>SUM(D15:D18)</f>
        <v>4578742</v>
      </c>
      <c r="E19" s="5">
        <f>SUM(E15:E18)</f>
        <v>10683731</v>
      </c>
      <c r="F19" s="5"/>
      <c r="G19" s="5">
        <f>SUM(G15:G18)</f>
        <v>5871670.5</v>
      </c>
      <c r="H19" s="5">
        <f>+H18</f>
        <v>0</v>
      </c>
      <c r="I19" s="5">
        <f>SUM(I15:I18)</f>
        <v>6890200.3399999999</v>
      </c>
      <c r="J19" s="5">
        <f>SUM(D19:I19)</f>
        <v>28024343.84</v>
      </c>
    </row>
    <row r="20" spans="1:10" ht="18" customHeight="1" x14ac:dyDescent="0.35">
      <c r="A20" s="9" t="s">
        <v>18</v>
      </c>
      <c r="B20" s="8" t="s">
        <v>17</v>
      </c>
      <c r="C20" s="7"/>
      <c r="D20" s="15"/>
      <c r="E20" s="15"/>
      <c r="F20" s="15"/>
      <c r="G20" s="15"/>
      <c r="H20" s="15"/>
      <c r="I20" s="15"/>
      <c r="J20" s="25"/>
    </row>
    <row r="21" spans="1:10" ht="18" customHeight="1" x14ac:dyDescent="0.35">
      <c r="A21" s="14"/>
      <c r="B21" s="13"/>
      <c r="C21" s="12" t="s">
        <v>16</v>
      </c>
      <c r="D21" s="5"/>
      <c r="E21" s="11">
        <v>120000</v>
      </c>
      <c r="F21" s="5"/>
      <c r="G21" s="5"/>
      <c r="H21" s="5"/>
      <c r="I21" s="5"/>
      <c r="J21" s="5">
        <f t="shared" ref="J21:J32" si="0">SUM(D21:I21)</f>
        <v>120000</v>
      </c>
    </row>
    <row r="22" spans="1:10" ht="18" customHeight="1" x14ac:dyDescent="0.35">
      <c r="A22" s="14"/>
      <c r="B22" s="13"/>
      <c r="C22" s="12" t="s">
        <v>15</v>
      </c>
      <c r="D22" s="17"/>
      <c r="E22" s="16"/>
      <c r="F22" s="17"/>
      <c r="G22" s="17"/>
      <c r="H22" s="17"/>
      <c r="I22" s="16">
        <v>13949.35</v>
      </c>
      <c r="J22" s="5">
        <f t="shared" si="0"/>
        <v>13949.35</v>
      </c>
    </row>
    <row r="23" spans="1:10" ht="18" customHeight="1" x14ac:dyDescent="0.35">
      <c r="A23" s="14"/>
      <c r="B23" s="13"/>
      <c r="C23" s="24" t="s">
        <v>14</v>
      </c>
      <c r="D23" s="5"/>
      <c r="E23" s="11">
        <v>620705.05000000005</v>
      </c>
      <c r="F23" s="5"/>
      <c r="G23" s="5"/>
      <c r="H23" s="5"/>
      <c r="I23" s="11"/>
      <c r="J23" s="5">
        <f t="shared" si="0"/>
        <v>620705.05000000005</v>
      </c>
    </row>
    <row r="24" spans="1:10" ht="18" customHeight="1" x14ac:dyDescent="0.35">
      <c r="A24" s="23"/>
      <c r="B24" s="22"/>
      <c r="C24" s="22" t="s">
        <v>13</v>
      </c>
      <c r="D24" s="21"/>
      <c r="E24" s="20">
        <v>28000</v>
      </c>
      <c r="F24" s="21"/>
      <c r="G24" s="21"/>
      <c r="H24" s="21"/>
      <c r="I24" s="20">
        <v>251650</v>
      </c>
      <c r="J24" s="5">
        <f t="shared" si="0"/>
        <v>279650</v>
      </c>
    </row>
    <row r="25" spans="1:10" ht="18" customHeight="1" x14ac:dyDescent="0.35">
      <c r="A25" s="19"/>
      <c r="B25" s="18"/>
      <c r="C25" s="12" t="s">
        <v>12</v>
      </c>
      <c r="D25" s="17"/>
      <c r="E25" s="16"/>
      <c r="F25" s="17"/>
      <c r="G25" s="17"/>
      <c r="H25" s="17"/>
      <c r="I25" s="16"/>
      <c r="J25" s="5">
        <f t="shared" si="0"/>
        <v>0</v>
      </c>
    </row>
    <row r="26" spans="1:10" ht="18" customHeight="1" x14ac:dyDescent="0.35">
      <c r="A26" s="14"/>
      <c r="B26" s="13"/>
      <c r="C26" s="7" t="s">
        <v>11</v>
      </c>
      <c r="D26" s="5"/>
      <c r="E26" s="11"/>
      <c r="F26" s="5"/>
      <c r="G26" s="5"/>
      <c r="H26" s="5"/>
      <c r="I26" s="11"/>
      <c r="J26" s="5">
        <f t="shared" si="0"/>
        <v>0</v>
      </c>
    </row>
    <row r="27" spans="1:10" ht="18" customHeight="1" x14ac:dyDescent="0.35">
      <c r="A27" s="9"/>
      <c r="B27" s="8"/>
      <c r="C27" s="7" t="s">
        <v>10</v>
      </c>
      <c r="D27" s="15"/>
      <c r="E27" s="6">
        <v>150000</v>
      </c>
      <c r="F27" s="15"/>
      <c r="G27" s="15">
        <v>2023211</v>
      </c>
      <c r="H27" s="15"/>
      <c r="I27" s="6">
        <v>43214</v>
      </c>
      <c r="J27" s="5">
        <f t="shared" si="0"/>
        <v>2216425</v>
      </c>
    </row>
    <row r="28" spans="1:10" ht="18" customHeight="1" x14ac:dyDescent="0.35">
      <c r="A28" s="9"/>
      <c r="B28" s="8"/>
      <c r="C28" s="7" t="s">
        <v>9</v>
      </c>
      <c r="D28" s="15"/>
      <c r="E28" s="6"/>
      <c r="F28" s="15"/>
      <c r="G28" s="15"/>
      <c r="H28" s="15"/>
      <c r="I28" s="6"/>
      <c r="J28" s="5">
        <f t="shared" si="0"/>
        <v>0</v>
      </c>
    </row>
    <row r="29" spans="1:10" ht="18" customHeight="1" x14ac:dyDescent="0.35">
      <c r="A29" s="9"/>
      <c r="B29" s="8"/>
      <c r="C29" s="7" t="s">
        <v>8</v>
      </c>
      <c r="D29" s="15"/>
      <c r="E29" s="6"/>
      <c r="F29" s="15"/>
      <c r="G29" s="15"/>
      <c r="H29" s="15"/>
      <c r="I29" s="6"/>
      <c r="J29" s="5">
        <f t="shared" si="0"/>
        <v>0</v>
      </c>
    </row>
    <row r="30" spans="1:10" ht="18" customHeight="1" x14ac:dyDescent="0.35">
      <c r="A30" s="14"/>
      <c r="B30" s="13"/>
      <c r="C30" s="12" t="s">
        <v>7</v>
      </c>
      <c r="D30" s="5"/>
      <c r="E30" s="11"/>
      <c r="F30" s="5"/>
      <c r="G30" s="5"/>
      <c r="H30" s="5"/>
      <c r="I30" s="11"/>
      <c r="J30" s="5">
        <f t="shared" si="0"/>
        <v>0</v>
      </c>
    </row>
    <row r="31" spans="1:10" ht="18" customHeight="1" x14ac:dyDescent="0.35">
      <c r="A31" s="9"/>
      <c r="B31" s="8" t="s">
        <v>6</v>
      </c>
      <c r="C31" s="7"/>
      <c r="D31" s="10">
        <f>SUM(D21:D30)</f>
        <v>0</v>
      </c>
      <c r="E31" s="10">
        <f>SUM(E21:E30)</f>
        <v>918705.05</v>
      </c>
      <c r="F31" s="10"/>
      <c r="G31" s="10">
        <f>SUM(G21:G30)</f>
        <v>2023211</v>
      </c>
      <c r="H31" s="10">
        <f>SUM(H21:H30)</f>
        <v>0</v>
      </c>
      <c r="I31" s="10">
        <f>SUM(I21:I30)</f>
        <v>308813.34999999998</v>
      </c>
      <c r="J31" s="5">
        <f t="shared" si="0"/>
        <v>3250729.4</v>
      </c>
    </row>
    <row r="32" spans="1:10" ht="18" customHeight="1" x14ac:dyDescent="0.35">
      <c r="A32" s="9" t="s">
        <v>5</v>
      </c>
      <c r="B32" s="8"/>
      <c r="C32" s="7"/>
      <c r="D32" s="6">
        <f>+D19-D31</f>
        <v>4578742</v>
      </c>
      <c r="E32" s="6">
        <f>+E19-E31</f>
        <v>9765025.9499999993</v>
      </c>
      <c r="F32" s="6"/>
      <c r="G32" s="6">
        <f>+G19-G31</f>
        <v>3848459.5</v>
      </c>
      <c r="H32" s="6">
        <f>+H19-H31</f>
        <v>0</v>
      </c>
      <c r="I32" s="6">
        <f>+I19-I31</f>
        <v>6581386.9900000002</v>
      </c>
      <c r="J32" s="5">
        <f t="shared" si="0"/>
        <v>24773614.439999998</v>
      </c>
    </row>
    <row r="33" spans="1:10" ht="18" customHeight="1" x14ac:dyDescent="0.35">
      <c r="A33" s="1"/>
      <c r="B33" s="1"/>
      <c r="C33" s="1"/>
      <c r="D33" s="1"/>
      <c r="E33" s="1"/>
      <c r="F33" s="1"/>
      <c r="G33" s="1"/>
      <c r="H33" s="1"/>
      <c r="I33" s="4"/>
      <c r="J33" s="2"/>
    </row>
    <row r="34" spans="1:10" ht="18" customHeight="1" x14ac:dyDescent="0.35">
      <c r="A34" s="1" t="s">
        <v>4</v>
      </c>
      <c r="B34" s="1"/>
      <c r="C34" s="1"/>
      <c r="D34" s="1"/>
      <c r="E34" s="1"/>
      <c r="F34" s="1"/>
      <c r="G34" s="3"/>
      <c r="H34" s="1"/>
      <c r="I34" s="3"/>
      <c r="J34" s="1"/>
    </row>
    <row r="35" spans="1:10" ht="18" customHeight="1" x14ac:dyDescent="0.35">
      <c r="A35" s="1"/>
      <c r="B35" s="1"/>
      <c r="C35" s="1"/>
      <c r="D35" s="1"/>
      <c r="E35" s="1"/>
      <c r="F35" s="1"/>
      <c r="G35" s="3"/>
      <c r="H35" s="1"/>
      <c r="I35" s="3"/>
      <c r="J35" s="1"/>
    </row>
    <row r="36" spans="1:10" ht="18" customHeight="1" x14ac:dyDescent="0.35">
      <c r="A36" s="1"/>
      <c r="B36" s="1"/>
      <c r="C36" s="1"/>
      <c r="D36" s="1"/>
      <c r="E36" s="1"/>
      <c r="F36" s="1"/>
      <c r="G36" s="3"/>
      <c r="H36" s="1"/>
      <c r="I36" s="3"/>
      <c r="J36" s="1"/>
    </row>
    <row r="37" spans="1:10" ht="18" customHeight="1" x14ac:dyDescent="0.35">
      <c r="A37" s="1" t="s">
        <v>3</v>
      </c>
      <c r="B37" s="1"/>
      <c r="C37" s="1"/>
      <c r="D37" s="1"/>
      <c r="E37" s="1"/>
      <c r="F37" s="1"/>
      <c r="G37" s="2"/>
      <c r="H37" s="1"/>
      <c r="I37" s="1"/>
      <c r="J37" s="1"/>
    </row>
    <row r="38" spans="1:10" ht="18" customHeight="1" x14ac:dyDescent="0.35">
      <c r="A38" s="1" t="s">
        <v>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8" customHeight="1" x14ac:dyDescent="0.35">
      <c r="A39" s="1" t="s">
        <v>1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8" customHeight="1" x14ac:dyDescent="0.3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6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6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6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6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6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6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6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6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6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6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6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6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6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6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6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6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6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6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6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6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6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6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6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6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6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6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6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6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6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6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6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6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6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6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6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6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6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6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6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6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6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6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6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6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6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6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6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6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6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6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6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6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6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6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6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6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6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6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6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6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6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6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6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6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6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6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6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6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6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6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6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6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6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6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6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6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6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6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6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6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6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6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6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6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6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6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6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6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6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6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6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6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6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</sheetData>
  <mergeCells count="8">
    <mergeCell ref="D10:E10"/>
    <mergeCell ref="F10:F13"/>
    <mergeCell ref="A11:C11"/>
    <mergeCell ref="A1:J1"/>
    <mergeCell ref="A2:J2"/>
    <mergeCell ref="A3:J3"/>
    <mergeCell ref="A4:J4"/>
    <mergeCell ref="A5:J5"/>
  </mergeCells>
  <pageMargins left="0.25" right="0.1" top="1.1000000000000001" bottom="1.1000000000000001" header="0.3" footer="0.3"/>
  <pageSetup paperSize="256" orientation="portrait" horizontalDpi="240" verticalDpi="14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zoomScale="120" zoomScaleNormal="120" workbookViewId="0">
      <selection activeCell="F14" sqref="F14"/>
    </sheetView>
  </sheetViews>
  <sheetFormatPr defaultRowHeight="15" x14ac:dyDescent="0.25"/>
  <cols>
    <col min="1" max="1" width="11.42578125" customWidth="1"/>
    <col min="2" max="2" width="8.28515625" customWidth="1"/>
    <col min="3" max="3" width="11.85546875" customWidth="1"/>
    <col min="4" max="4" width="3.5703125" customWidth="1"/>
    <col min="5" max="5" width="12.5703125" customWidth="1"/>
    <col min="6" max="6" width="11.140625" customWidth="1"/>
    <col min="7" max="7" width="11.7109375" customWidth="1"/>
    <col min="8" max="8" width="11.140625" customWidth="1"/>
    <col min="9" max="9" width="12" customWidth="1"/>
    <col min="10" max="10" width="10.5703125" customWidth="1"/>
    <col min="11" max="12" width="10.7109375" customWidth="1"/>
    <col min="13" max="13" width="11.5703125" customWidth="1"/>
    <col min="14" max="15" width="11.42578125" customWidth="1"/>
  </cols>
  <sheetData>
    <row r="1" spans="1:15" x14ac:dyDescent="0.25">
      <c r="A1" s="121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5">
      <c r="A2" s="121" t="s">
        <v>108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25">
      <c r="A4" s="121" t="s">
        <v>50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x14ac:dyDescent="0.25">
      <c r="A6" s="43"/>
      <c r="B6" s="44"/>
      <c r="C6" s="44"/>
      <c r="D6" s="44"/>
      <c r="E6" s="44"/>
      <c r="F6" s="44"/>
      <c r="G6" s="122" t="s">
        <v>51</v>
      </c>
      <c r="H6" s="123"/>
      <c r="I6" s="124"/>
      <c r="J6" s="122" t="s">
        <v>52</v>
      </c>
      <c r="K6" s="123"/>
      <c r="L6" s="123"/>
      <c r="M6" s="125"/>
      <c r="N6" s="126"/>
      <c r="O6" s="127"/>
    </row>
    <row r="7" spans="1:15" x14ac:dyDescent="0.25">
      <c r="A7" s="45"/>
      <c r="B7" s="45" t="s">
        <v>53</v>
      </c>
      <c r="C7" s="45" t="s">
        <v>54</v>
      </c>
      <c r="D7" s="45"/>
      <c r="E7" s="45"/>
      <c r="F7" s="45" t="s">
        <v>55</v>
      </c>
      <c r="G7" s="129" t="s">
        <v>56</v>
      </c>
      <c r="H7" s="130"/>
      <c r="I7" s="131"/>
      <c r="J7" s="129" t="s">
        <v>57</v>
      </c>
      <c r="K7" s="130"/>
      <c r="L7" s="130"/>
      <c r="M7" s="132" t="s">
        <v>58</v>
      </c>
      <c r="N7" s="133"/>
      <c r="O7" s="134"/>
    </row>
    <row r="8" spans="1:15" x14ac:dyDescent="0.25">
      <c r="A8" s="46" t="s">
        <v>59</v>
      </c>
      <c r="B8" s="46" t="s">
        <v>60</v>
      </c>
      <c r="C8" s="46" t="s">
        <v>61</v>
      </c>
      <c r="D8" s="46"/>
      <c r="E8" s="46" t="s">
        <v>62</v>
      </c>
      <c r="F8" s="46" t="s">
        <v>63</v>
      </c>
      <c r="G8" s="47" t="s">
        <v>55</v>
      </c>
      <c r="H8" s="47" t="s">
        <v>64</v>
      </c>
      <c r="I8" s="47" t="s">
        <v>36</v>
      </c>
      <c r="J8" s="47" t="s">
        <v>55</v>
      </c>
      <c r="K8" s="47" t="s">
        <v>64</v>
      </c>
      <c r="L8" s="48" t="s">
        <v>36</v>
      </c>
      <c r="M8" s="47" t="s">
        <v>55</v>
      </c>
      <c r="N8" s="47" t="s">
        <v>64</v>
      </c>
      <c r="O8" s="47" t="s">
        <v>36</v>
      </c>
    </row>
    <row r="9" spans="1:15" x14ac:dyDescent="0.25">
      <c r="A9" s="49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x14ac:dyDescent="0.25">
      <c r="A10" s="49" t="s">
        <v>65</v>
      </c>
      <c r="B10" s="51" t="s">
        <v>66</v>
      </c>
      <c r="C10" s="135" t="s">
        <v>67</v>
      </c>
      <c r="D10" s="49" t="s">
        <v>68</v>
      </c>
      <c r="E10" s="49" t="s">
        <v>69</v>
      </c>
      <c r="F10" s="50">
        <v>24992887.32</v>
      </c>
      <c r="G10" s="50">
        <f>17249407.48+703952.72</f>
        <v>17953360.199999999</v>
      </c>
      <c r="H10" s="50">
        <f>8147277.03+12304.72</f>
        <v>8159581.75</v>
      </c>
      <c r="I10" s="50">
        <f>+G10+H10</f>
        <v>26112941.949999999</v>
      </c>
      <c r="J10" s="50">
        <f>2816000-703952.72</f>
        <v>2112047.2800000003</v>
      </c>
      <c r="K10" s="52">
        <f>680000-12304.72</f>
        <v>667695.28</v>
      </c>
      <c r="L10" s="50">
        <f>+J10+K10</f>
        <v>2779742.5600000005</v>
      </c>
      <c r="M10" s="50">
        <v>4927479.84</v>
      </c>
      <c r="N10" s="50">
        <v>500000</v>
      </c>
      <c r="O10" s="50">
        <f>+M10+N10</f>
        <v>5427479.8399999999</v>
      </c>
    </row>
    <row r="11" spans="1:15" x14ac:dyDescent="0.25">
      <c r="A11" s="49" t="s">
        <v>70</v>
      </c>
      <c r="B11" s="49"/>
      <c r="C11" s="135"/>
      <c r="D11" s="49"/>
      <c r="E11" s="49" t="s">
        <v>71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x14ac:dyDescent="0.25">
      <c r="A12" s="49"/>
      <c r="B12" s="49"/>
      <c r="C12" s="135"/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x14ac:dyDescent="0.25">
      <c r="A13" s="49" t="s">
        <v>65</v>
      </c>
      <c r="B13" s="51" t="s">
        <v>66</v>
      </c>
      <c r="C13" s="135" t="s">
        <v>72</v>
      </c>
      <c r="D13" s="49" t="s">
        <v>68</v>
      </c>
      <c r="E13" s="49" t="s">
        <v>73</v>
      </c>
      <c r="F13" s="50">
        <v>2000000</v>
      </c>
      <c r="G13" s="50">
        <f>1388888.74+55555.55</f>
        <v>1444444.29</v>
      </c>
      <c r="H13" s="50">
        <f>763020.03+2306.41</f>
        <v>765326.44000000006</v>
      </c>
      <c r="I13" s="50">
        <f>+G13+H13</f>
        <v>2209770.73</v>
      </c>
      <c r="J13" s="50">
        <f>223000-55555.55</f>
        <v>167444.45000000001</v>
      </c>
      <c r="K13" s="50">
        <f>55000-2306.41</f>
        <v>52693.59</v>
      </c>
      <c r="L13" s="50">
        <f>+J13+K13</f>
        <v>220138.04</v>
      </c>
      <c r="M13" s="50">
        <v>388111.26</v>
      </c>
      <c r="N13" s="50">
        <v>45000</v>
      </c>
      <c r="O13" s="50">
        <f>+M13+N13</f>
        <v>433111.26</v>
      </c>
    </row>
    <row r="14" spans="1:15" x14ac:dyDescent="0.25">
      <c r="A14" s="49" t="s">
        <v>70</v>
      </c>
      <c r="B14" s="49"/>
      <c r="C14" s="135"/>
      <c r="D14" s="49"/>
      <c r="E14" s="49" t="s">
        <v>71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x14ac:dyDescent="0.25">
      <c r="A15" s="49"/>
      <c r="B15" s="49"/>
      <c r="C15" s="135"/>
      <c r="D15" s="49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x14ac:dyDescent="0.25">
      <c r="A16" s="49" t="s">
        <v>65</v>
      </c>
      <c r="B16" s="51" t="s">
        <v>66</v>
      </c>
      <c r="C16" s="136" t="s">
        <v>74</v>
      </c>
      <c r="D16" s="49" t="s">
        <v>68</v>
      </c>
      <c r="E16" s="49" t="s">
        <v>73</v>
      </c>
      <c r="F16" s="50">
        <v>19986000</v>
      </c>
      <c r="G16" s="50">
        <f>13879166.5+555166.66</f>
        <v>14434333.16</v>
      </c>
      <c r="H16" s="50">
        <f>6569395.33+9704</f>
        <v>6579099.3300000001</v>
      </c>
      <c r="I16" s="50">
        <f>+G16+H16</f>
        <v>21013432.490000002</v>
      </c>
      <c r="J16" s="50">
        <f>2221000-555166.66</f>
        <v>1665833.3399999999</v>
      </c>
      <c r="K16" s="52">
        <f>535000-9704</f>
        <v>525296</v>
      </c>
      <c r="L16" s="50">
        <f>+J16+K16</f>
        <v>2191129.34</v>
      </c>
      <c r="M16" s="50">
        <v>3885833.5</v>
      </c>
      <c r="N16" s="50">
        <v>390000</v>
      </c>
      <c r="O16" s="50">
        <f>+M16+N16</f>
        <v>4275833.5</v>
      </c>
    </row>
    <row r="17" spans="1:15" x14ac:dyDescent="0.25">
      <c r="A17" s="49" t="s">
        <v>70</v>
      </c>
      <c r="B17" s="49"/>
      <c r="C17" s="136"/>
      <c r="D17" s="49"/>
      <c r="E17" s="49" t="s">
        <v>71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x14ac:dyDescent="0.25">
      <c r="A18" s="49"/>
      <c r="B18" s="49"/>
      <c r="C18" s="136"/>
      <c r="D18" s="49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x14ac:dyDescent="0.25">
      <c r="A19" s="49" t="s">
        <v>65</v>
      </c>
      <c r="B19" s="51" t="s">
        <v>66</v>
      </c>
      <c r="C19" s="135" t="s">
        <v>75</v>
      </c>
      <c r="D19" s="51" t="s">
        <v>76</v>
      </c>
      <c r="E19" s="49" t="s">
        <v>73</v>
      </c>
      <c r="F19" s="50">
        <v>4900000</v>
      </c>
      <c r="G19" s="50">
        <f>3373246.94+138795.76</f>
        <v>3512042.7</v>
      </c>
      <c r="H19" s="50">
        <f>1501519.46+6671.72</f>
        <v>1508191.18</v>
      </c>
      <c r="I19" s="50">
        <f>+G19+H19</f>
        <v>5020233.88</v>
      </c>
      <c r="J19" s="50">
        <f>556000-138795.76</f>
        <v>417204.24</v>
      </c>
      <c r="K19" s="50">
        <f>135000-6671.72</f>
        <v>128328.28</v>
      </c>
      <c r="L19" s="50">
        <f>+J19+K19</f>
        <v>545532.52</v>
      </c>
      <c r="M19" s="50">
        <v>970753.06</v>
      </c>
      <c r="N19" s="50">
        <v>105000</v>
      </c>
      <c r="O19" s="50">
        <f>+M19+N19</f>
        <v>1075753.06</v>
      </c>
    </row>
    <row r="20" spans="1:15" x14ac:dyDescent="0.25">
      <c r="A20" s="49" t="s">
        <v>70</v>
      </c>
      <c r="B20" s="49"/>
      <c r="C20" s="135"/>
      <c r="D20" s="49"/>
      <c r="E20" s="49" t="s">
        <v>71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x14ac:dyDescent="0.25">
      <c r="A21" s="49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customHeight="1" x14ac:dyDescent="0.25">
      <c r="A22" s="49" t="s">
        <v>65</v>
      </c>
      <c r="B22" s="51" t="s">
        <v>66</v>
      </c>
      <c r="C22" s="135" t="s">
        <v>77</v>
      </c>
      <c r="D22" s="51" t="s">
        <v>76</v>
      </c>
      <c r="E22" s="49" t="s">
        <v>73</v>
      </c>
      <c r="F22" s="50">
        <v>14369063.9</v>
      </c>
      <c r="G22" s="50">
        <f>9759552.71+419046.47</f>
        <v>10178599.180000002</v>
      </c>
      <c r="H22" s="50">
        <f>4018205.41+7324.72</f>
        <v>4025530.1300000004</v>
      </c>
      <c r="I22" s="50">
        <f>+G22+H22</f>
        <v>14204129.310000002</v>
      </c>
      <c r="J22" s="50">
        <f>1677000-419046.47</f>
        <v>1257953.53</v>
      </c>
      <c r="K22" s="52">
        <f>405000-7324.72</f>
        <v>397675.28</v>
      </c>
      <c r="L22" s="50">
        <f>+J22+K22</f>
        <v>1655628.81</v>
      </c>
      <c r="M22" s="50">
        <v>2932511.19</v>
      </c>
      <c r="N22" s="50">
        <v>295000</v>
      </c>
      <c r="O22" s="50">
        <f>+M22+N22</f>
        <v>3227511.19</v>
      </c>
    </row>
    <row r="23" spans="1:15" x14ac:dyDescent="0.25">
      <c r="A23" s="49"/>
      <c r="B23" s="49"/>
      <c r="C23" s="137"/>
      <c r="D23" s="49"/>
      <c r="E23" s="49" t="s">
        <v>71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x14ac:dyDescent="0.25">
      <c r="A24" s="53" t="s">
        <v>36</v>
      </c>
      <c r="B24" s="54"/>
      <c r="C24" s="54"/>
      <c r="D24" s="54"/>
      <c r="E24" s="53"/>
      <c r="F24" s="55">
        <f t="shared" ref="F24:O24" si="0">SUM(F9:F23)</f>
        <v>66247951.219999999</v>
      </c>
      <c r="G24" s="55">
        <f t="shared" si="0"/>
        <v>47522779.530000001</v>
      </c>
      <c r="H24" s="55">
        <f t="shared" si="0"/>
        <v>21037728.829999998</v>
      </c>
      <c r="I24" s="55">
        <f t="shared" si="0"/>
        <v>68560508.360000014</v>
      </c>
      <c r="J24" s="55">
        <f t="shared" si="0"/>
        <v>5620482.8400000008</v>
      </c>
      <c r="K24" s="55">
        <f t="shared" si="0"/>
        <v>1771688.4300000002</v>
      </c>
      <c r="L24" s="55">
        <f t="shared" si="0"/>
        <v>7392171.2700000014</v>
      </c>
      <c r="M24" s="55">
        <f t="shared" si="0"/>
        <v>13104688.85</v>
      </c>
      <c r="N24" s="55">
        <f t="shared" si="0"/>
        <v>1335000</v>
      </c>
      <c r="O24" s="55">
        <f t="shared" si="0"/>
        <v>14439688.85</v>
      </c>
    </row>
    <row r="25" spans="1:15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x14ac:dyDescent="0.25">
      <c r="A26" s="56" t="s">
        <v>78</v>
      </c>
      <c r="B26" s="57"/>
      <c r="C26" s="57"/>
      <c r="D26" s="57"/>
      <c r="E26" s="57"/>
      <c r="F26" s="57"/>
      <c r="G26" s="57"/>
      <c r="H26" s="57"/>
      <c r="I26" s="57"/>
      <c r="J26" s="57" t="s">
        <v>79</v>
      </c>
      <c r="K26" s="57"/>
      <c r="L26" s="57"/>
      <c r="M26" s="57"/>
      <c r="N26" s="57"/>
      <c r="O26" s="58"/>
    </row>
    <row r="27" spans="1:15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x14ac:dyDescent="0.25">
      <c r="A29" s="57" t="s">
        <v>3</v>
      </c>
      <c r="B29" s="57"/>
      <c r="C29" s="57"/>
      <c r="D29" s="57"/>
      <c r="E29" s="57"/>
      <c r="F29" s="57"/>
      <c r="G29" s="57"/>
      <c r="H29" s="57"/>
      <c r="I29" s="57"/>
      <c r="J29" s="57" t="s">
        <v>80</v>
      </c>
      <c r="K29" s="57"/>
      <c r="L29" s="57"/>
      <c r="M29" s="57"/>
      <c r="N29" s="57"/>
      <c r="O29" s="57"/>
    </row>
    <row r="30" spans="1:15" x14ac:dyDescent="0.25">
      <c r="A30" s="57" t="s">
        <v>2</v>
      </c>
      <c r="B30" s="57"/>
      <c r="C30" s="57"/>
      <c r="D30" s="57"/>
      <c r="E30" s="57"/>
      <c r="F30" s="57"/>
      <c r="G30" s="57"/>
      <c r="H30" s="57"/>
      <c r="I30" s="57"/>
      <c r="J30" s="57" t="s">
        <v>81</v>
      </c>
      <c r="K30" s="57"/>
      <c r="L30" s="57"/>
      <c r="M30" s="57"/>
      <c r="N30" s="57"/>
      <c r="O30" s="57"/>
    </row>
    <row r="31" spans="1:15" x14ac:dyDescent="0.25">
      <c r="A31" s="57" t="s">
        <v>1</v>
      </c>
    </row>
    <row r="32" spans="1:15" x14ac:dyDescent="0.25">
      <c r="A32" s="57" t="s">
        <v>0</v>
      </c>
    </row>
    <row r="40" spans="1:15" x14ac:dyDescent="0.25">
      <c r="A40" s="128" t="s">
        <v>48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83"/>
      <c r="N40" s="83"/>
      <c r="O40" s="83"/>
    </row>
    <row r="41" spans="1:15" x14ac:dyDescent="0.25">
      <c r="A41" s="128" t="s">
        <v>82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83"/>
      <c r="N41" s="83"/>
      <c r="O41" s="83"/>
    </row>
    <row r="42" spans="1:15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5" x14ac:dyDescent="0.25">
      <c r="A43" s="128" t="s">
        <v>50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83"/>
      <c r="N43" s="83"/>
      <c r="O43" s="83"/>
    </row>
    <row r="44" spans="1:15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x14ac:dyDescent="0.25">
      <c r="A45" s="60"/>
      <c r="B45" s="61"/>
      <c r="C45" s="61"/>
      <c r="D45" s="61"/>
      <c r="E45" s="61"/>
      <c r="F45" s="61"/>
      <c r="G45" s="138" t="s">
        <v>51</v>
      </c>
      <c r="H45" s="139"/>
      <c r="I45" s="140"/>
      <c r="J45" s="138" t="s">
        <v>52</v>
      </c>
      <c r="K45" s="139"/>
      <c r="L45" s="139"/>
      <c r="M45" s="141"/>
      <c r="N45" s="142"/>
      <c r="O45" s="143"/>
    </row>
    <row r="46" spans="1:15" x14ac:dyDescent="0.25">
      <c r="A46" s="62"/>
      <c r="B46" s="62" t="s">
        <v>53</v>
      </c>
      <c r="C46" s="62" t="s">
        <v>54</v>
      </c>
      <c r="D46" s="62"/>
      <c r="E46" s="62"/>
      <c r="F46" s="62" t="s">
        <v>55</v>
      </c>
      <c r="G46" s="144" t="s">
        <v>56</v>
      </c>
      <c r="H46" s="145"/>
      <c r="I46" s="146"/>
      <c r="J46" s="144" t="s">
        <v>57</v>
      </c>
      <c r="K46" s="145"/>
      <c r="L46" s="145"/>
      <c r="M46" s="147" t="s">
        <v>58</v>
      </c>
      <c r="N46" s="148"/>
      <c r="O46" s="149"/>
    </row>
    <row r="47" spans="1:15" x14ac:dyDescent="0.25">
      <c r="A47" s="63" t="s">
        <v>59</v>
      </c>
      <c r="B47" s="63" t="s">
        <v>60</v>
      </c>
      <c r="C47" s="63" t="s">
        <v>61</v>
      </c>
      <c r="D47" s="63"/>
      <c r="E47" s="63" t="s">
        <v>62</v>
      </c>
      <c r="F47" s="63" t="s">
        <v>63</v>
      </c>
      <c r="G47" s="64" t="s">
        <v>55</v>
      </c>
      <c r="H47" s="64" t="s">
        <v>64</v>
      </c>
      <c r="I47" s="64" t="s">
        <v>36</v>
      </c>
      <c r="J47" s="64" t="s">
        <v>55</v>
      </c>
      <c r="K47" s="64" t="s">
        <v>64</v>
      </c>
      <c r="L47" s="65" t="s">
        <v>36</v>
      </c>
      <c r="M47" s="64" t="s">
        <v>55</v>
      </c>
      <c r="N47" s="64" t="s">
        <v>64</v>
      </c>
      <c r="O47" s="64" t="s">
        <v>36</v>
      </c>
    </row>
    <row r="48" spans="1:15" x14ac:dyDescent="0.25">
      <c r="A48" s="66"/>
      <c r="B48" s="66"/>
      <c r="C48" s="66"/>
      <c r="D48" s="66"/>
      <c r="E48" s="66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x14ac:dyDescent="0.25">
      <c r="A49" s="66" t="s">
        <v>65</v>
      </c>
      <c r="B49" s="68" t="s">
        <v>83</v>
      </c>
      <c r="C49" s="66" t="s">
        <v>84</v>
      </c>
      <c r="D49" s="69" t="s">
        <v>76</v>
      </c>
      <c r="E49" s="66" t="s">
        <v>85</v>
      </c>
      <c r="F49" s="67">
        <f>35602306.41</f>
        <v>35602306.409999996</v>
      </c>
      <c r="G49" s="67">
        <v>31494348.039999999</v>
      </c>
      <c r="H49" s="67">
        <v>6244384</v>
      </c>
      <c r="I49" s="67">
        <f>+G49+H49</f>
        <v>37738732.039999999</v>
      </c>
      <c r="J49" s="67">
        <v>4108000</v>
      </c>
      <c r="K49" s="67">
        <v>222000</v>
      </c>
      <c r="L49" s="67">
        <f>+J49+K49</f>
        <v>4330000</v>
      </c>
      <c r="M49" s="67"/>
      <c r="N49" s="67"/>
      <c r="O49" s="67"/>
    </row>
    <row r="50" spans="1:15" x14ac:dyDescent="0.25">
      <c r="A50" s="66" t="s">
        <v>70</v>
      </c>
      <c r="B50" s="66"/>
      <c r="C50" s="66" t="s">
        <v>86</v>
      </c>
      <c r="D50" s="66"/>
      <c r="E50" s="66" t="s">
        <v>87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x14ac:dyDescent="0.25">
      <c r="A51" s="66"/>
      <c r="B51" s="66"/>
      <c r="C51" s="66"/>
      <c r="D51" s="66"/>
      <c r="E51" s="66" t="s">
        <v>88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x14ac:dyDescent="0.25">
      <c r="A52" s="66"/>
      <c r="B52" s="66"/>
      <c r="C52" s="66"/>
      <c r="D52" s="66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x14ac:dyDescent="0.25">
      <c r="A53" s="66" t="s">
        <v>65</v>
      </c>
      <c r="B53" s="68" t="s">
        <v>66</v>
      </c>
      <c r="C53" s="66" t="s">
        <v>89</v>
      </c>
      <c r="D53" s="66" t="s">
        <v>68</v>
      </c>
      <c r="E53" s="66" t="s">
        <v>69</v>
      </c>
      <c r="F53" s="67">
        <v>25000000</v>
      </c>
      <c r="G53" s="67">
        <v>11624895.279999999</v>
      </c>
      <c r="H53" s="67">
        <v>7734805</v>
      </c>
      <c r="I53" s="67">
        <f>+G53+H53</f>
        <v>19359700.280000001</v>
      </c>
      <c r="J53" s="67">
        <v>2816000</v>
      </c>
      <c r="K53" s="70">
        <v>1299000</v>
      </c>
      <c r="L53" s="67">
        <f>+J53+K53</f>
        <v>4115000</v>
      </c>
      <c r="M53" s="67">
        <f>+F53-G53-J53</f>
        <v>10559104.720000001</v>
      </c>
      <c r="N53" s="67">
        <v>2535000</v>
      </c>
      <c r="O53" s="67">
        <f>+M53+N53</f>
        <v>13094104.720000001</v>
      </c>
    </row>
    <row r="54" spans="1:15" x14ac:dyDescent="0.25">
      <c r="A54" s="66" t="s">
        <v>70</v>
      </c>
      <c r="B54" s="66"/>
      <c r="C54" s="66" t="s">
        <v>90</v>
      </c>
      <c r="D54" s="66"/>
      <c r="E54" s="66" t="s">
        <v>71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x14ac:dyDescent="0.25">
      <c r="A55" s="66"/>
      <c r="B55" s="66"/>
      <c r="C55" s="66"/>
      <c r="D55" s="66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x14ac:dyDescent="0.25">
      <c r="A56" s="66" t="s">
        <v>65</v>
      </c>
      <c r="B56" s="68" t="s">
        <v>66</v>
      </c>
      <c r="C56" s="66" t="s">
        <v>91</v>
      </c>
      <c r="D56" s="66" t="s">
        <v>68</v>
      </c>
      <c r="E56" s="66" t="s">
        <v>73</v>
      </c>
      <c r="F56" s="67">
        <v>2000000</v>
      </c>
      <c r="G56" s="67">
        <v>944442.62</v>
      </c>
      <c r="H56" s="67">
        <v>612504</v>
      </c>
      <c r="I56" s="67">
        <f>+G56+H56</f>
        <v>1556946.62</v>
      </c>
      <c r="J56" s="67">
        <v>223000</v>
      </c>
      <c r="K56" s="67">
        <v>103000</v>
      </c>
      <c r="L56" s="67">
        <f>+J56+K56</f>
        <v>326000</v>
      </c>
      <c r="M56" s="67">
        <f>+F56-G56-J56</f>
        <v>832557.37999999989</v>
      </c>
      <c r="N56" s="67">
        <v>200000</v>
      </c>
      <c r="O56" s="67">
        <f>+M56+N56</f>
        <v>1032557.3799999999</v>
      </c>
    </row>
    <row r="57" spans="1:15" x14ac:dyDescent="0.25">
      <c r="A57" s="66" t="s">
        <v>70</v>
      </c>
      <c r="B57" s="66"/>
      <c r="C57" s="66" t="s">
        <v>92</v>
      </c>
      <c r="D57" s="66"/>
      <c r="E57" s="66" t="s">
        <v>71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15" x14ac:dyDescent="0.25">
      <c r="A58" s="66"/>
      <c r="B58" s="66"/>
      <c r="C58" s="66"/>
      <c r="D58" s="66"/>
      <c r="E58" s="66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x14ac:dyDescent="0.25">
      <c r="A59" s="66" t="s">
        <v>65</v>
      </c>
      <c r="B59" s="68" t="s">
        <v>66</v>
      </c>
      <c r="C59" s="66" t="s">
        <v>93</v>
      </c>
      <c r="D59" s="66" t="s">
        <v>68</v>
      </c>
      <c r="E59" s="66" t="s">
        <v>73</v>
      </c>
      <c r="F59" s="67">
        <v>20000000</v>
      </c>
      <c r="G59" s="67">
        <v>9451831.8599999994</v>
      </c>
      <c r="H59" s="67">
        <v>6118025</v>
      </c>
      <c r="I59" s="67">
        <f>+G59+H59</f>
        <v>15569856.859999999</v>
      </c>
      <c r="J59" s="67">
        <v>2223000</v>
      </c>
      <c r="K59" s="70">
        <v>1025000</v>
      </c>
      <c r="L59" s="67">
        <f>+J59+K59</f>
        <v>3248000</v>
      </c>
      <c r="M59" s="67">
        <f>+F59-G59-J59</f>
        <v>8325168.1400000006</v>
      </c>
      <c r="N59" s="67">
        <v>2000000</v>
      </c>
      <c r="O59" s="67">
        <f>+M59+N59</f>
        <v>10325168.140000001</v>
      </c>
    </row>
    <row r="60" spans="1:15" x14ac:dyDescent="0.25">
      <c r="A60" s="66" t="s">
        <v>70</v>
      </c>
      <c r="B60" s="66"/>
      <c r="C60" s="66" t="s">
        <v>92</v>
      </c>
      <c r="D60" s="66"/>
      <c r="E60" s="66" t="s">
        <v>71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x14ac:dyDescent="0.25">
      <c r="A61" s="66"/>
      <c r="B61" s="66"/>
      <c r="C61" s="66"/>
      <c r="D61" s="66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x14ac:dyDescent="0.25">
      <c r="A62" s="66" t="s">
        <v>65</v>
      </c>
      <c r="B62" s="68" t="s">
        <v>66</v>
      </c>
      <c r="C62" s="66" t="s">
        <v>94</v>
      </c>
      <c r="D62" s="68" t="s">
        <v>76</v>
      </c>
      <c r="E62" s="66" t="s">
        <v>73</v>
      </c>
      <c r="F62" s="67">
        <v>4900000</v>
      </c>
      <c r="G62" s="67">
        <v>2262878.79</v>
      </c>
      <c r="H62" s="67">
        <v>1789533</v>
      </c>
      <c r="I62" s="67">
        <f>+G62+H62</f>
        <v>4052411.79</v>
      </c>
      <c r="J62" s="67">
        <v>556000</v>
      </c>
      <c r="K62" s="67">
        <v>258000</v>
      </c>
      <c r="L62" s="67">
        <f>+J62+K62</f>
        <v>814000</v>
      </c>
      <c r="M62" s="67">
        <f>+F62-G62-J62</f>
        <v>2081121.21</v>
      </c>
      <c r="N62" s="67">
        <v>501000</v>
      </c>
      <c r="O62" s="67">
        <f>+M62+N62</f>
        <v>2582121.21</v>
      </c>
    </row>
    <row r="63" spans="1:15" x14ac:dyDescent="0.25">
      <c r="A63" s="66" t="s">
        <v>70</v>
      </c>
      <c r="B63" s="66"/>
      <c r="C63" s="66"/>
      <c r="D63" s="66"/>
      <c r="E63" s="66" t="s">
        <v>71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x14ac:dyDescent="0.25">
      <c r="A64" s="66"/>
      <c r="B64" s="66"/>
      <c r="C64" s="66"/>
      <c r="D64" s="66"/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1:15" x14ac:dyDescent="0.25">
      <c r="A65" s="66" t="s">
        <v>65</v>
      </c>
      <c r="B65" s="68" t="s">
        <v>66</v>
      </c>
      <c r="C65" s="66" t="s">
        <v>95</v>
      </c>
      <c r="D65" s="68" t="s">
        <v>76</v>
      </c>
      <c r="E65" s="66" t="s">
        <v>73</v>
      </c>
      <c r="F65" s="67">
        <v>15000000</v>
      </c>
      <c r="G65" s="67">
        <v>7038113.9299999997</v>
      </c>
      <c r="H65" s="67">
        <v>4608686</v>
      </c>
      <c r="I65" s="67">
        <f>+G65+H65</f>
        <v>11646799.93</v>
      </c>
      <c r="J65" s="67">
        <v>1677000</v>
      </c>
      <c r="K65" s="70">
        <v>774000</v>
      </c>
      <c r="L65" s="67">
        <f>+J65+K65</f>
        <v>2451000</v>
      </c>
      <c r="M65" s="67">
        <f>+F65-G65-J65</f>
        <v>6284886.0700000003</v>
      </c>
      <c r="N65" s="67">
        <v>1510000</v>
      </c>
      <c r="O65" s="67">
        <f>+M65+N65</f>
        <v>7794886.0700000003</v>
      </c>
    </row>
    <row r="66" spans="1:15" x14ac:dyDescent="0.25">
      <c r="A66" s="66"/>
      <c r="B66" s="66"/>
      <c r="C66" s="66" t="s">
        <v>96</v>
      </c>
      <c r="D66" s="66"/>
      <c r="E66" s="66" t="s">
        <v>71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1:15" x14ac:dyDescent="0.25">
      <c r="A67" s="71" t="s">
        <v>36</v>
      </c>
      <c r="B67" s="72"/>
      <c r="C67" s="72"/>
      <c r="D67" s="72"/>
      <c r="E67" s="71"/>
      <c r="F67" s="73">
        <f t="shared" ref="F67:O67" si="1">SUM(F48:F66)</f>
        <v>102502306.41</v>
      </c>
      <c r="G67" s="73">
        <f t="shared" si="1"/>
        <v>62816510.519999996</v>
      </c>
      <c r="H67" s="73">
        <f t="shared" si="1"/>
        <v>27107937</v>
      </c>
      <c r="I67" s="73">
        <f t="shared" si="1"/>
        <v>89924447.520000011</v>
      </c>
      <c r="J67" s="73">
        <f t="shared" si="1"/>
        <v>11603000</v>
      </c>
      <c r="K67" s="73">
        <f t="shared" si="1"/>
        <v>3681000</v>
      </c>
      <c r="L67" s="73">
        <f t="shared" si="1"/>
        <v>15284000</v>
      </c>
      <c r="M67" s="73">
        <f t="shared" si="1"/>
        <v>28082837.520000003</v>
      </c>
      <c r="N67" s="73">
        <f t="shared" si="1"/>
        <v>6746000</v>
      </c>
      <c r="O67" s="73">
        <f t="shared" si="1"/>
        <v>34828837.520000003</v>
      </c>
    </row>
    <row r="68" spans="1:15" x14ac:dyDescent="0.25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x14ac:dyDescent="0.25">
      <c r="A69" s="74" t="s">
        <v>78</v>
      </c>
      <c r="B69" s="75"/>
      <c r="C69" s="75"/>
      <c r="D69" s="75"/>
      <c r="E69" s="75"/>
      <c r="F69" s="75"/>
      <c r="G69" s="75"/>
      <c r="H69" s="75"/>
      <c r="I69" s="75"/>
      <c r="J69" s="75" t="s">
        <v>79</v>
      </c>
      <c r="K69" s="75"/>
      <c r="L69" s="75"/>
      <c r="M69" s="75"/>
      <c r="N69" s="75"/>
      <c r="O69" s="76"/>
    </row>
    <row r="70" spans="1:15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x14ac:dyDescent="0.25">
      <c r="A72" s="75" t="s">
        <v>97</v>
      </c>
      <c r="B72" s="75"/>
      <c r="C72" s="75"/>
      <c r="D72" s="75"/>
      <c r="E72" s="75"/>
      <c r="F72" s="75"/>
      <c r="G72" s="75"/>
      <c r="H72" s="75"/>
      <c r="I72" s="75"/>
      <c r="J72" s="75" t="s">
        <v>98</v>
      </c>
      <c r="K72" s="75"/>
      <c r="L72" s="75"/>
      <c r="M72" s="75"/>
      <c r="N72" s="75"/>
      <c r="O72" s="75"/>
    </row>
    <row r="73" spans="1:15" x14ac:dyDescent="0.25">
      <c r="A73" s="75" t="s">
        <v>99</v>
      </c>
      <c r="B73" s="75"/>
      <c r="C73" s="75"/>
      <c r="D73" s="75"/>
      <c r="E73" s="75"/>
      <c r="F73" s="75"/>
      <c r="G73" s="75"/>
      <c r="H73" s="75"/>
      <c r="I73" s="75"/>
      <c r="J73" s="75" t="s">
        <v>81</v>
      </c>
      <c r="K73" s="75"/>
      <c r="L73" s="75"/>
      <c r="M73" s="75"/>
      <c r="N73" s="75"/>
      <c r="O73" s="75"/>
    </row>
    <row r="85" spans="1:15" x14ac:dyDescent="0.25">
      <c r="A85" s="128" t="s">
        <v>48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83"/>
      <c r="N85" s="83"/>
      <c r="O85" s="83"/>
    </row>
    <row r="86" spans="1:15" x14ac:dyDescent="0.25">
      <c r="A86" s="128" t="s">
        <v>100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83"/>
      <c r="N86" s="83"/>
      <c r="O86" s="83"/>
    </row>
    <row r="87" spans="1:15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1:15" x14ac:dyDescent="0.25">
      <c r="A88" s="128" t="s">
        <v>50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83"/>
      <c r="N88" s="83"/>
      <c r="O88" s="83"/>
    </row>
    <row r="89" spans="1:15" x14ac:dyDescent="0.2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</row>
    <row r="90" spans="1:15" x14ac:dyDescent="0.25">
      <c r="A90" s="60"/>
      <c r="B90" s="61"/>
      <c r="C90" s="61"/>
      <c r="D90" s="61"/>
      <c r="E90" s="61"/>
      <c r="F90" s="61"/>
      <c r="G90" s="138" t="s">
        <v>51</v>
      </c>
      <c r="H90" s="139"/>
      <c r="I90" s="140"/>
      <c r="J90" s="138" t="s">
        <v>52</v>
      </c>
      <c r="K90" s="139"/>
      <c r="L90" s="139"/>
      <c r="M90" s="141"/>
      <c r="N90" s="142"/>
      <c r="O90" s="143"/>
    </row>
    <row r="91" spans="1:15" x14ac:dyDescent="0.25">
      <c r="A91" s="62"/>
      <c r="B91" s="62" t="s">
        <v>53</v>
      </c>
      <c r="C91" s="62" t="s">
        <v>54</v>
      </c>
      <c r="D91" s="62"/>
      <c r="E91" s="62"/>
      <c r="F91" s="62" t="s">
        <v>55</v>
      </c>
      <c r="G91" s="144" t="s">
        <v>56</v>
      </c>
      <c r="H91" s="145"/>
      <c r="I91" s="146"/>
      <c r="J91" s="144" t="s">
        <v>57</v>
      </c>
      <c r="K91" s="145"/>
      <c r="L91" s="145"/>
      <c r="M91" s="147" t="s">
        <v>58</v>
      </c>
      <c r="N91" s="148"/>
      <c r="O91" s="149"/>
    </row>
    <row r="92" spans="1:15" x14ac:dyDescent="0.25">
      <c r="A92" s="63" t="s">
        <v>59</v>
      </c>
      <c r="B92" s="63" t="s">
        <v>60</v>
      </c>
      <c r="C92" s="63" t="s">
        <v>61</v>
      </c>
      <c r="D92" s="63"/>
      <c r="E92" s="63" t="s">
        <v>62</v>
      </c>
      <c r="F92" s="63" t="s">
        <v>63</v>
      </c>
      <c r="G92" s="64" t="s">
        <v>55</v>
      </c>
      <c r="H92" s="64" t="s">
        <v>64</v>
      </c>
      <c r="I92" s="64" t="s">
        <v>36</v>
      </c>
      <c r="J92" s="64" t="s">
        <v>55</v>
      </c>
      <c r="K92" s="64" t="s">
        <v>64</v>
      </c>
      <c r="L92" s="65" t="s">
        <v>36</v>
      </c>
      <c r="M92" s="64" t="s">
        <v>55</v>
      </c>
      <c r="N92" s="64" t="s">
        <v>64</v>
      </c>
      <c r="O92" s="64" t="s">
        <v>36</v>
      </c>
    </row>
    <row r="93" spans="1:15" x14ac:dyDescent="0.25">
      <c r="A93" s="77" t="s">
        <v>65</v>
      </c>
      <c r="B93" s="78" t="s">
        <v>101</v>
      </c>
      <c r="C93" s="77" t="s">
        <v>102</v>
      </c>
      <c r="D93" s="77" t="s">
        <v>68</v>
      </c>
      <c r="E93" s="77" t="s">
        <v>103</v>
      </c>
      <c r="F93" s="79">
        <v>7798060</v>
      </c>
      <c r="G93" s="79">
        <f>5570045+1114009</f>
        <v>6684054</v>
      </c>
      <c r="H93" s="79">
        <f>669553+185000</f>
        <v>854553</v>
      </c>
      <c r="I93" s="79">
        <f>+G93+H93</f>
        <v>7538607</v>
      </c>
      <c r="J93" s="79">
        <v>1115000</v>
      </c>
      <c r="K93" s="79">
        <v>112000</v>
      </c>
      <c r="L93" s="79" t="e">
        <f>+J93+K93+#REF!</f>
        <v>#REF!</v>
      </c>
      <c r="M93" s="67"/>
      <c r="N93" s="67"/>
      <c r="O93" s="67"/>
    </row>
    <row r="94" spans="1:15" x14ac:dyDescent="0.25">
      <c r="A94" s="66" t="s">
        <v>70</v>
      </c>
      <c r="B94" s="80"/>
      <c r="C94" s="81" t="s">
        <v>104</v>
      </c>
      <c r="D94" s="81"/>
      <c r="E94" s="66" t="s">
        <v>105</v>
      </c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1:15" x14ac:dyDescent="0.25">
      <c r="A95" s="66"/>
      <c r="B95" s="66"/>
      <c r="C95" s="66"/>
      <c r="D95" s="66"/>
      <c r="E95" s="66" t="s">
        <v>106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1:15" x14ac:dyDescent="0.25">
      <c r="A96" s="66"/>
      <c r="B96" s="66"/>
      <c r="C96" s="66"/>
      <c r="D96" s="66"/>
      <c r="E96" s="66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1:15" x14ac:dyDescent="0.25">
      <c r="A97" s="66" t="s">
        <v>65</v>
      </c>
      <c r="B97" s="68" t="s">
        <v>83</v>
      </c>
      <c r="C97" s="66" t="s">
        <v>84</v>
      </c>
      <c r="D97" s="69" t="s">
        <v>76</v>
      </c>
      <c r="E97" s="66" t="s">
        <v>85</v>
      </c>
      <c r="F97" s="67">
        <f>35602306.41</f>
        <v>35602306.409999996</v>
      </c>
      <c r="G97" s="67">
        <f>20539792.2+5477277.92</f>
        <v>26017070.119999997</v>
      </c>
      <c r="H97" s="67">
        <f>4187384+1301000</f>
        <v>5488384</v>
      </c>
      <c r="I97" s="67">
        <f>+G97+H97</f>
        <v>31505454.119999997</v>
      </c>
      <c r="J97" s="67">
        <v>5478000</v>
      </c>
      <c r="K97" s="67">
        <v>756000</v>
      </c>
      <c r="L97" s="67" t="e">
        <f>+J97+K97+#REF!</f>
        <v>#REF!</v>
      </c>
      <c r="M97" s="67">
        <f>+F97-G97-J97</f>
        <v>4107236.2899999991</v>
      </c>
      <c r="N97" s="67">
        <v>220000</v>
      </c>
      <c r="O97" s="67">
        <f>+M97+N97</f>
        <v>4327236.2899999991</v>
      </c>
    </row>
    <row r="98" spans="1:15" x14ac:dyDescent="0.25">
      <c r="A98" s="66" t="s">
        <v>70</v>
      </c>
      <c r="B98" s="66"/>
      <c r="C98" s="66" t="s">
        <v>86</v>
      </c>
      <c r="D98" s="66"/>
      <c r="E98" s="66" t="s">
        <v>87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1:15" x14ac:dyDescent="0.25">
      <c r="A99" s="66"/>
      <c r="B99" s="66"/>
      <c r="C99" s="66"/>
      <c r="D99" s="66"/>
      <c r="E99" s="66" t="s">
        <v>88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1:15" x14ac:dyDescent="0.25">
      <c r="A100" s="66"/>
      <c r="B100" s="66"/>
      <c r="C100" s="66"/>
      <c r="D100" s="66"/>
      <c r="E100" s="66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1:15" x14ac:dyDescent="0.25">
      <c r="A101" s="66" t="s">
        <v>65</v>
      </c>
      <c r="B101" s="68" t="s">
        <v>66</v>
      </c>
      <c r="C101" s="66" t="s">
        <v>89</v>
      </c>
      <c r="D101" s="66" t="s">
        <v>68</v>
      </c>
      <c r="E101" s="66" t="s">
        <v>69</v>
      </c>
      <c r="F101" s="67">
        <v>25000000</v>
      </c>
      <c r="G101" s="67">
        <f>5993273.52+2815810.88</f>
        <v>8809084.3999999985</v>
      </c>
      <c r="H101" s="67">
        <f>4420805+1796000</f>
        <v>6216805</v>
      </c>
      <c r="I101" s="67">
        <f>+G101+H101</f>
        <v>15025889.399999999</v>
      </c>
      <c r="J101" s="67">
        <v>2816000</v>
      </c>
      <c r="K101" s="70">
        <v>1518000</v>
      </c>
      <c r="L101" s="67" t="e">
        <f>+J101+K101+#REF!</f>
        <v>#REF!</v>
      </c>
      <c r="M101" s="67">
        <f>+F101-G101-J101</f>
        <v>13374915.600000001</v>
      </c>
      <c r="N101" s="67">
        <v>3357000</v>
      </c>
      <c r="O101" s="67">
        <f>+M101+N101</f>
        <v>16731915.600000001</v>
      </c>
    </row>
    <row r="102" spans="1:15" x14ac:dyDescent="0.25">
      <c r="A102" s="66" t="s">
        <v>70</v>
      </c>
      <c r="B102" s="66"/>
      <c r="C102" s="66" t="s">
        <v>90</v>
      </c>
      <c r="D102" s="66"/>
      <c r="E102" s="66" t="s">
        <v>71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1:15" x14ac:dyDescent="0.25">
      <c r="A103" s="66"/>
      <c r="B103" s="66"/>
      <c r="C103" s="66"/>
      <c r="D103" s="66"/>
      <c r="E103" s="66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1:15" x14ac:dyDescent="0.25">
      <c r="A104" s="66" t="s">
        <v>65</v>
      </c>
      <c r="B104" s="68" t="s">
        <v>66</v>
      </c>
      <c r="C104" s="66" t="s">
        <v>91</v>
      </c>
      <c r="D104" s="66" t="s">
        <v>68</v>
      </c>
      <c r="E104" s="66" t="s">
        <v>73</v>
      </c>
      <c r="F104" s="67">
        <v>2000000</v>
      </c>
      <c r="G104" s="67">
        <f>499998.22+222222.2</f>
        <v>722220.41999999993</v>
      </c>
      <c r="H104" s="67">
        <f>350504+142000</f>
        <v>492504</v>
      </c>
      <c r="I104" s="67">
        <f>+G104+H104</f>
        <v>1214724.42</v>
      </c>
      <c r="J104" s="67">
        <v>223000</v>
      </c>
      <c r="K104" s="67">
        <v>120000</v>
      </c>
      <c r="L104" s="67" t="e">
        <f>+J104+K104+#REF!</f>
        <v>#REF!</v>
      </c>
      <c r="M104" s="67">
        <f>+F104-G104-J104</f>
        <v>1054779.58</v>
      </c>
      <c r="N104" s="67">
        <v>270000</v>
      </c>
      <c r="O104" s="67">
        <f>+M104+N104</f>
        <v>1324779.58</v>
      </c>
    </row>
    <row r="105" spans="1:15" x14ac:dyDescent="0.25">
      <c r="A105" s="66" t="s">
        <v>70</v>
      </c>
      <c r="B105" s="66"/>
      <c r="C105" s="66" t="s">
        <v>92</v>
      </c>
      <c r="D105" s="66"/>
      <c r="E105" s="66" t="s">
        <v>71</v>
      </c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1:15" x14ac:dyDescent="0.25">
      <c r="A106" s="66"/>
      <c r="B106" s="66"/>
      <c r="C106" s="66"/>
      <c r="D106" s="66"/>
      <c r="E106" s="66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5" x14ac:dyDescent="0.25">
      <c r="A107" s="66" t="s">
        <v>65</v>
      </c>
      <c r="B107" s="68" t="s">
        <v>66</v>
      </c>
      <c r="C107" s="66" t="s">
        <v>93</v>
      </c>
      <c r="D107" s="66" t="s">
        <v>68</v>
      </c>
      <c r="E107" s="66" t="s">
        <v>73</v>
      </c>
      <c r="F107" s="67">
        <v>20000000</v>
      </c>
      <c r="G107" s="67">
        <f>5010498.58+2220666.64</f>
        <v>7231165.2200000007</v>
      </c>
      <c r="H107" s="67">
        <f>3505025+1416000</f>
        <v>4921025</v>
      </c>
      <c r="I107" s="67">
        <f>+G107+H107</f>
        <v>12152190.220000001</v>
      </c>
      <c r="J107" s="67">
        <v>2223000</v>
      </c>
      <c r="K107" s="70">
        <v>1197000</v>
      </c>
      <c r="L107" s="67" t="e">
        <f>+J107+K107+#REF!</f>
        <v>#REF!</v>
      </c>
      <c r="M107" s="67">
        <f>+F107-G107-J107</f>
        <v>10545834.779999999</v>
      </c>
      <c r="N107" s="67">
        <v>2650000</v>
      </c>
      <c r="O107" s="67">
        <f>+M107+N107</f>
        <v>13195834.779999999</v>
      </c>
    </row>
    <row r="108" spans="1:15" x14ac:dyDescent="0.25">
      <c r="A108" s="66" t="s">
        <v>70</v>
      </c>
      <c r="B108" s="66"/>
      <c r="C108" s="66" t="s">
        <v>92</v>
      </c>
      <c r="D108" s="66"/>
      <c r="E108" s="66" t="s">
        <v>71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1:15" x14ac:dyDescent="0.25">
      <c r="A109" s="66"/>
      <c r="B109" s="66"/>
      <c r="C109" s="66"/>
      <c r="D109" s="66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1:15" x14ac:dyDescent="0.25">
      <c r="A110" s="66" t="s">
        <v>65</v>
      </c>
      <c r="B110" s="68" t="s">
        <v>66</v>
      </c>
      <c r="C110" s="66" t="s">
        <v>94</v>
      </c>
      <c r="D110" s="68" t="s">
        <v>76</v>
      </c>
      <c r="E110" s="66" t="s">
        <v>73</v>
      </c>
      <c r="F110" s="67">
        <v>4900000</v>
      </c>
      <c r="G110" s="67">
        <f>1152512.71+555183.04</f>
        <v>1707695.75</v>
      </c>
      <c r="H110" s="67">
        <f>879533+354000</f>
        <v>1233533</v>
      </c>
      <c r="I110" s="67">
        <f>+G110+H110</f>
        <v>2941228.75</v>
      </c>
      <c r="J110" s="67">
        <v>556000</v>
      </c>
      <c r="K110" s="67">
        <v>300000</v>
      </c>
      <c r="L110" s="67" t="e">
        <f>+J110+K110+#REF!</f>
        <v>#REF!</v>
      </c>
      <c r="M110" s="67">
        <f>+F110-G110-J110</f>
        <v>2636304.25</v>
      </c>
      <c r="N110" s="67">
        <v>662000</v>
      </c>
      <c r="O110" s="67">
        <f>+M110+N110</f>
        <v>3298304.25</v>
      </c>
    </row>
    <row r="111" spans="1:15" x14ac:dyDescent="0.25">
      <c r="A111" s="66" t="s">
        <v>70</v>
      </c>
      <c r="B111" s="66"/>
      <c r="C111" s="66"/>
      <c r="D111" s="66"/>
      <c r="E111" s="66" t="s">
        <v>71</v>
      </c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1:15" x14ac:dyDescent="0.25">
      <c r="A112" s="66"/>
      <c r="B112" s="66"/>
      <c r="C112" s="66"/>
      <c r="D112" s="66"/>
      <c r="E112" s="66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1:15" x14ac:dyDescent="0.25">
      <c r="A113" s="66" t="s">
        <v>65</v>
      </c>
      <c r="B113" s="68" t="s">
        <v>66</v>
      </c>
      <c r="C113" s="66" t="s">
        <v>95</v>
      </c>
      <c r="D113" s="68" t="s">
        <v>76</v>
      </c>
      <c r="E113" s="66" t="s">
        <v>73</v>
      </c>
      <c r="F113" s="67">
        <v>15000000</v>
      </c>
      <c r="G113" s="67">
        <f>3685742.17+1676185.88</f>
        <v>5361928.05</v>
      </c>
      <c r="H113" s="67">
        <f>2635686+1069000</f>
        <v>3704686</v>
      </c>
      <c r="I113" s="67">
        <f>+G113+H113</f>
        <v>9066614.0500000007</v>
      </c>
      <c r="J113" s="67">
        <v>1677000</v>
      </c>
      <c r="K113" s="70">
        <v>904000</v>
      </c>
      <c r="L113" s="67" t="e">
        <f>+J113+K113+#REF!</f>
        <v>#REF!</v>
      </c>
      <c r="M113" s="67">
        <f>+F113-G113-J113</f>
        <v>7961071.9499999993</v>
      </c>
      <c r="N113" s="67">
        <v>1998000</v>
      </c>
      <c r="O113" s="67">
        <f>+M113+N113</f>
        <v>9959071.9499999993</v>
      </c>
    </row>
    <row r="114" spans="1:15" x14ac:dyDescent="0.25">
      <c r="A114" s="66"/>
      <c r="B114" s="66"/>
      <c r="C114" s="66" t="s">
        <v>96</v>
      </c>
      <c r="D114" s="66"/>
      <c r="E114" s="66" t="s">
        <v>71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1:15" x14ac:dyDescent="0.25">
      <c r="A115" s="71" t="s">
        <v>36</v>
      </c>
      <c r="B115" s="72"/>
      <c r="C115" s="72"/>
      <c r="D115" s="72"/>
      <c r="E115" s="71"/>
      <c r="F115" s="73">
        <f t="shared" ref="F115:L115" si="2">SUM(F93:F114)</f>
        <v>110300366.41</v>
      </c>
      <c r="G115" s="73">
        <f t="shared" si="2"/>
        <v>56533217.959999993</v>
      </c>
      <c r="H115" s="73">
        <f t="shared" si="2"/>
        <v>22911490</v>
      </c>
      <c r="I115" s="73">
        <f t="shared" si="2"/>
        <v>79444707.959999993</v>
      </c>
      <c r="J115" s="73">
        <f t="shared" si="2"/>
        <v>14088000</v>
      </c>
      <c r="K115" s="73">
        <f t="shared" si="2"/>
        <v>4907000</v>
      </c>
      <c r="L115" s="73" t="e">
        <f t="shared" si="2"/>
        <v>#REF!</v>
      </c>
      <c r="M115" s="73">
        <f t="shared" ref="M115:O115" si="3">SUM(M93:M114)</f>
        <v>39680142.450000003</v>
      </c>
      <c r="N115" s="73">
        <f t="shared" si="3"/>
        <v>9157000</v>
      </c>
      <c r="O115" s="73">
        <f t="shared" si="3"/>
        <v>48837142.450000003</v>
      </c>
    </row>
    <row r="116" spans="1:15" x14ac:dyDescent="0.2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x14ac:dyDescent="0.25">
      <c r="A117" s="74" t="s">
        <v>78</v>
      </c>
      <c r="B117" s="75"/>
      <c r="C117" s="75"/>
      <c r="D117" s="75"/>
      <c r="E117" s="75"/>
      <c r="F117" s="75"/>
      <c r="G117" s="75"/>
      <c r="H117" s="75"/>
      <c r="I117" s="75"/>
      <c r="J117" s="75" t="s">
        <v>79</v>
      </c>
      <c r="K117" s="75"/>
      <c r="L117" s="75"/>
      <c r="M117" s="75"/>
      <c r="N117" s="75"/>
      <c r="O117" s="76"/>
    </row>
    <row r="118" spans="1:15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1:15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1:15" x14ac:dyDescent="0.25">
      <c r="A120" s="75" t="s">
        <v>97</v>
      </c>
      <c r="B120" s="75"/>
      <c r="C120" s="75"/>
      <c r="D120" s="75"/>
      <c r="E120" s="75"/>
      <c r="F120" s="75"/>
      <c r="G120" s="75"/>
      <c r="H120" s="75"/>
      <c r="I120" s="75"/>
      <c r="J120" s="75" t="s">
        <v>98</v>
      </c>
      <c r="K120" s="75"/>
      <c r="L120" s="75"/>
      <c r="M120" s="75"/>
      <c r="N120" s="75"/>
      <c r="O120" s="75"/>
    </row>
    <row r="121" spans="1:15" x14ac:dyDescent="0.25">
      <c r="A121" s="75" t="s">
        <v>99</v>
      </c>
      <c r="B121" s="75"/>
      <c r="C121" s="75"/>
      <c r="D121" s="75"/>
      <c r="E121" s="75"/>
      <c r="F121" s="75"/>
      <c r="G121" s="75"/>
      <c r="H121" s="75"/>
      <c r="I121" s="75"/>
      <c r="J121" s="75" t="s">
        <v>81</v>
      </c>
      <c r="K121" s="75"/>
      <c r="L121" s="75"/>
      <c r="M121" s="75"/>
      <c r="N121" s="75"/>
      <c r="O121" s="75"/>
    </row>
    <row r="122" spans="1:15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34" spans="1:15" x14ac:dyDescent="0.25">
      <c r="A134" s="128" t="s">
        <v>48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83"/>
      <c r="N134" s="83"/>
      <c r="O134" s="83"/>
    </row>
    <row r="135" spans="1:15" x14ac:dyDescent="0.25">
      <c r="A135" s="128" t="s">
        <v>100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83"/>
      <c r="N135" s="83"/>
      <c r="O135" s="83"/>
    </row>
    <row r="136" spans="1:15" x14ac:dyDescent="0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</row>
    <row r="137" spans="1:15" x14ac:dyDescent="0.25">
      <c r="A137" s="128" t="s">
        <v>50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83"/>
      <c r="N137" s="83"/>
      <c r="O137" s="83"/>
    </row>
    <row r="138" spans="1:15" x14ac:dyDescent="0.2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1:15" x14ac:dyDescent="0.25">
      <c r="A139" s="60"/>
      <c r="B139" s="61"/>
      <c r="C139" s="61"/>
      <c r="D139" s="61"/>
      <c r="E139" s="61"/>
      <c r="F139" s="61"/>
      <c r="G139" s="138" t="s">
        <v>51</v>
      </c>
      <c r="H139" s="139"/>
      <c r="I139" s="140"/>
      <c r="J139" s="138" t="s">
        <v>52</v>
      </c>
      <c r="K139" s="139"/>
      <c r="L139" s="139"/>
      <c r="M139" s="141"/>
      <c r="N139" s="142"/>
      <c r="O139" s="143"/>
    </row>
    <row r="140" spans="1:15" x14ac:dyDescent="0.25">
      <c r="A140" s="62"/>
      <c r="B140" s="62" t="s">
        <v>53</v>
      </c>
      <c r="C140" s="62" t="s">
        <v>54</v>
      </c>
      <c r="D140" s="62"/>
      <c r="E140" s="62"/>
      <c r="F140" s="62" t="s">
        <v>55</v>
      </c>
      <c r="G140" s="144" t="s">
        <v>56</v>
      </c>
      <c r="H140" s="145"/>
      <c r="I140" s="146"/>
      <c r="J140" s="144" t="s">
        <v>57</v>
      </c>
      <c r="K140" s="145"/>
      <c r="L140" s="145"/>
      <c r="M140" s="147" t="s">
        <v>58</v>
      </c>
      <c r="N140" s="148"/>
      <c r="O140" s="149"/>
    </row>
    <row r="141" spans="1:15" x14ac:dyDescent="0.25">
      <c r="A141" s="63" t="s">
        <v>59</v>
      </c>
      <c r="B141" s="63" t="s">
        <v>60</v>
      </c>
      <c r="C141" s="63" t="s">
        <v>61</v>
      </c>
      <c r="D141" s="63"/>
      <c r="E141" s="63" t="s">
        <v>62</v>
      </c>
      <c r="F141" s="63" t="s">
        <v>63</v>
      </c>
      <c r="G141" s="64" t="s">
        <v>55</v>
      </c>
      <c r="H141" s="64" t="s">
        <v>64</v>
      </c>
      <c r="I141" s="64" t="s">
        <v>36</v>
      </c>
      <c r="J141" s="64" t="s">
        <v>55</v>
      </c>
      <c r="K141" s="64" t="s">
        <v>64</v>
      </c>
      <c r="L141" s="65" t="s">
        <v>36</v>
      </c>
      <c r="M141" s="64" t="s">
        <v>55</v>
      </c>
      <c r="N141" s="64" t="s">
        <v>64</v>
      </c>
      <c r="O141" s="64" t="s">
        <v>36</v>
      </c>
    </row>
    <row r="142" spans="1:15" x14ac:dyDescent="0.25">
      <c r="A142" s="77" t="s">
        <v>65</v>
      </c>
      <c r="B142" s="78" t="s">
        <v>101</v>
      </c>
      <c r="C142" s="77" t="s">
        <v>102</v>
      </c>
      <c r="D142" s="77" t="s">
        <v>68</v>
      </c>
      <c r="E142" s="77" t="s">
        <v>103</v>
      </c>
      <c r="F142" s="79">
        <v>7798060</v>
      </c>
      <c r="G142" s="79">
        <f>5570045+1114009</f>
        <v>6684054</v>
      </c>
      <c r="H142" s="79">
        <f>669553+185000</f>
        <v>854553</v>
      </c>
      <c r="I142" s="79">
        <f>+G142+H142</f>
        <v>7538607</v>
      </c>
      <c r="J142" s="79">
        <v>1115000</v>
      </c>
      <c r="K142" s="79">
        <v>112000</v>
      </c>
      <c r="L142" s="79" t="e">
        <f>+J142+K142+#REF!</f>
        <v>#REF!</v>
      </c>
      <c r="M142" s="67">
        <v>1113015</v>
      </c>
      <c r="N142" s="67">
        <v>74500</v>
      </c>
      <c r="O142" s="67">
        <f>+M142+N142</f>
        <v>1187515</v>
      </c>
    </row>
    <row r="143" spans="1:15" x14ac:dyDescent="0.25">
      <c r="A143" s="66" t="s">
        <v>70</v>
      </c>
      <c r="B143" s="80"/>
      <c r="C143" s="81" t="s">
        <v>104</v>
      </c>
      <c r="D143" s="81"/>
      <c r="E143" s="66" t="s">
        <v>105</v>
      </c>
      <c r="F143" s="67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1:15" x14ac:dyDescent="0.25">
      <c r="A144" s="66"/>
      <c r="B144" s="66"/>
      <c r="C144" s="66"/>
      <c r="D144" s="66"/>
      <c r="E144" s="66" t="s">
        <v>106</v>
      </c>
      <c r="F144" s="67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1:15" x14ac:dyDescent="0.25">
      <c r="A145" s="66"/>
      <c r="B145" s="66"/>
      <c r="C145" s="66"/>
      <c r="D145" s="66"/>
      <c r="E145" s="66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1:15" x14ac:dyDescent="0.25">
      <c r="A146" s="66" t="s">
        <v>65</v>
      </c>
      <c r="B146" s="68" t="s">
        <v>83</v>
      </c>
      <c r="C146" s="66" t="s">
        <v>84</v>
      </c>
      <c r="D146" s="69" t="s">
        <v>76</v>
      </c>
      <c r="E146" s="66" t="s">
        <v>85</v>
      </c>
      <c r="F146" s="67">
        <f>35602306.41</f>
        <v>35602306.409999996</v>
      </c>
      <c r="G146" s="67">
        <f>20539792.2+5477277.92</f>
        <v>26017070.119999997</v>
      </c>
      <c r="H146" s="67">
        <f>4187384+1301000</f>
        <v>5488384</v>
      </c>
      <c r="I146" s="67">
        <f>+G146+H146</f>
        <v>31505454.119999997</v>
      </c>
      <c r="J146" s="67">
        <v>5478000</v>
      </c>
      <c r="K146" s="67">
        <v>756000</v>
      </c>
      <c r="L146" s="67" t="e">
        <f>+J146+K146+#REF!</f>
        <v>#REF!</v>
      </c>
      <c r="M146" s="67">
        <v>9584514.2100000009</v>
      </c>
      <c r="N146" s="67">
        <v>961600</v>
      </c>
      <c r="O146" s="67">
        <f>+M146+N146</f>
        <v>10546114.210000001</v>
      </c>
    </row>
    <row r="147" spans="1:15" x14ac:dyDescent="0.25">
      <c r="A147" s="66" t="s">
        <v>70</v>
      </c>
      <c r="B147" s="66"/>
      <c r="C147" s="66" t="s">
        <v>86</v>
      </c>
      <c r="D147" s="66"/>
      <c r="E147" s="66" t="s">
        <v>87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1:15" x14ac:dyDescent="0.25">
      <c r="A148" s="66"/>
      <c r="B148" s="66"/>
      <c r="C148" s="66"/>
      <c r="D148" s="66"/>
      <c r="E148" s="66" t="s">
        <v>88</v>
      </c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15" x14ac:dyDescent="0.25">
      <c r="A149" s="66"/>
      <c r="B149" s="66"/>
      <c r="C149" s="66"/>
      <c r="D149" s="66"/>
      <c r="E149" s="66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1:15" x14ac:dyDescent="0.25">
      <c r="A150" s="66" t="s">
        <v>65</v>
      </c>
      <c r="B150" s="68" t="s">
        <v>66</v>
      </c>
      <c r="C150" s="66" t="s">
        <v>89</v>
      </c>
      <c r="D150" s="66" t="s">
        <v>68</v>
      </c>
      <c r="E150" s="66" t="s">
        <v>69</v>
      </c>
      <c r="F150" s="67">
        <v>25000000</v>
      </c>
      <c r="G150" s="67">
        <f>5993273.52+2815810.88</f>
        <v>8809084.3999999985</v>
      </c>
      <c r="H150" s="67">
        <f>4420805+1796000</f>
        <v>6216805</v>
      </c>
      <c r="I150" s="67">
        <f>+G150+H150</f>
        <v>15025889.399999999</v>
      </c>
      <c r="J150" s="67">
        <v>2816000</v>
      </c>
      <c r="K150" s="70">
        <v>1518000</v>
      </c>
      <c r="L150" s="67" t="e">
        <f>+J150+K150+#REF!</f>
        <v>#REF!</v>
      </c>
      <c r="M150" s="67">
        <v>16190726.48</v>
      </c>
      <c r="N150" s="67">
        <v>4873700</v>
      </c>
      <c r="O150" s="67">
        <f>+M150+N150</f>
        <v>21064426.48</v>
      </c>
    </row>
    <row r="151" spans="1:15" x14ac:dyDescent="0.25">
      <c r="A151" s="66" t="s">
        <v>70</v>
      </c>
      <c r="B151" s="66"/>
      <c r="C151" s="66" t="s">
        <v>90</v>
      </c>
      <c r="D151" s="66"/>
      <c r="E151" s="66" t="s">
        <v>71</v>
      </c>
      <c r="F151" s="67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1:15" x14ac:dyDescent="0.25">
      <c r="A152" s="66"/>
      <c r="B152" s="66"/>
      <c r="C152" s="66"/>
      <c r="D152" s="66"/>
      <c r="E152" s="66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x14ac:dyDescent="0.25">
      <c r="A153" s="66" t="s">
        <v>65</v>
      </c>
      <c r="B153" s="68" t="s">
        <v>66</v>
      </c>
      <c r="C153" s="66" t="s">
        <v>91</v>
      </c>
      <c r="D153" s="66" t="s">
        <v>68</v>
      </c>
      <c r="E153" s="66" t="s">
        <v>73</v>
      </c>
      <c r="F153" s="67">
        <v>2000000</v>
      </c>
      <c r="G153" s="67">
        <f>499998.22+222222.2</f>
        <v>722220.41999999993</v>
      </c>
      <c r="H153" s="67">
        <f>350504+142000</f>
        <v>492504</v>
      </c>
      <c r="I153" s="67">
        <f>+G153+H153</f>
        <v>1214724.42</v>
      </c>
      <c r="J153" s="67">
        <v>223000</v>
      </c>
      <c r="K153" s="67">
        <v>120000</v>
      </c>
      <c r="L153" s="67" t="e">
        <f>+J153+K153+#REF!</f>
        <v>#REF!</v>
      </c>
      <c r="M153" s="67">
        <v>1277001.78</v>
      </c>
      <c r="N153" s="67">
        <v>384200</v>
      </c>
      <c r="O153" s="67">
        <f>+M153+N153</f>
        <v>1661201.78</v>
      </c>
    </row>
    <row r="154" spans="1:15" x14ac:dyDescent="0.25">
      <c r="A154" s="66" t="s">
        <v>70</v>
      </c>
      <c r="B154" s="66"/>
      <c r="C154" s="66" t="s">
        <v>92</v>
      </c>
      <c r="D154" s="66"/>
      <c r="E154" s="66" t="s">
        <v>71</v>
      </c>
      <c r="F154" s="67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1:15" x14ac:dyDescent="0.25">
      <c r="A155" s="66"/>
      <c r="B155" s="66"/>
      <c r="C155" s="66"/>
      <c r="D155" s="66"/>
      <c r="E155" s="66"/>
      <c r="F155" s="67"/>
      <c r="G155" s="67"/>
      <c r="H155" s="67"/>
      <c r="I155" s="67"/>
      <c r="J155" s="67"/>
      <c r="K155" s="67"/>
      <c r="L155" s="67"/>
      <c r="M155" s="67"/>
      <c r="N155" s="67"/>
      <c r="O155" s="67"/>
    </row>
    <row r="156" spans="1:15" x14ac:dyDescent="0.25">
      <c r="A156" s="66" t="s">
        <v>65</v>
      </c>
      <c r="B156" s="68" t="s">
        <v>66</v>
      </c>
      <c r="C156" s="66" t="s">
        <v>93</v>
      </c>
      <c r="D156" s="66" t="s">
        <v>68</v>
      </c>
      <c r="E156" s="66" t="s">
        <v>73</v>
      </c>
      <c r="F156" s="67">
        <v>20000000</v>
      </c>
      <c r="G156" s="67">
        <f>5010498.58+2220666.64</f>
        <v>7231165.2200000007</v>
      </c>
      <c r="H156" s="67">
        <f>3505025+1416000</f>
        <v>4921025</v>
      </c>
      <c r="I156" s="67">
        <f>+G156+H156</f>
        <v>12152190.220000001</v>
      </c>
      <c r="J156" s="67">
        <v>2223000</v>
      </c>
      <c r="K156" s="70">
        <v>1197000</v>
      </c>
      <c r="L156" s="67" t="e">
        <f>+J156+K156+#REF!</f>
        <v>#REF!</v>
      </c>
      <c r="M156" s="67">
        <v>12766501.42</v>
      </c>
      <c r="N156" s="67">
        <v>3843600</v>
      </c>
      <c r="O156" s="67">
        <f>+M156+N156</f>
        <v>16610101.42</v>
      </c>
    </row>
    <row r="157" spans="1:15" x14ac:dyDescent="0.25">
      <c r="A157" s="66" t="s">
        <v>70</v>
      </c>
      <c r="B157" s="66"/>
      <c r="C157" s="66" t="s">
        <v>92</v>
      </c>
      <c r="D157" s="66"/>
      <c r="E157" s="66" t="s">
        <v>71</v>
      </c>
      <c r="F157" s="67"/>
      <c r="G157" s="67"/>
      <c r="H157" s="67"/>
      <c r="I157" s="67"/>
      <c r="J157" s="67"/>
      <c r="K157" s="67"/>
      <c r="L157" s="67"/>
      <c r="M157" s="67"/>
      <c r="N157" s="67"/>
      <c r="O157" s="67"/>
    </row>
    <row r="158" spans="1:15" x14ac:dyDescent="0.25">
      <c r="A158" s="66"/>
      <c r="B158" s="66"/>
      <c r="C158" s="66"/>
      <c r="D158" s="66"/>
      <c r="E158" s="66"/>
      <c r="F158" s="67"/>
      <c r="G158" s="67"/>
      <c r="H158" s="67"/>
      <c r="I158" s="67"/>
      <c r="J158" s="67"/>
      <c r="K158" s="67"/>
      <c r="L158" s="67"/>
      <c r="M158" s="67"/>
      <c r="N158" s="67"/>
      <c r="O158" s="67"/>
    </row>
    <row r="159" spans="1:15" x14ac:dyDescent="0.25">
      <c r="A159" s="66" t="s">
        <v>65</v>
      </c>
      <c r="B159" s="68" t="s">
        <v>66</v>
      </c>
      <c r="C159" s="66" t="s">
        <v>94</v>
      </c>
      <c r="D159" s="68" t="s">
        <v>76</v>
      </c>
      <c r="E159" s="66" t="s">
        <v>73</v>
      </c>
      <c r="F159" s="67">
        <v>4900000</v>
      </c>
      <c r="G159" s="67">
        <f>1152512.71+555183.04</f>
        <v>1707695.75</v>
      </c>
      <c r="H159" s="67">
        <f>879533+354000</f>
        <v>1233533</v>
      </c>
      <c r="I159" s="67">
        <f>+G159+H159</f>
        <v>2941228.75</v>
      </c>
      <c r="J159" s="67">
        <v>556000</v>
      </c>
      <c r="K159" s="67">
        <v>300000</v>
      </c>
      <c r="L159" s="67" t="e">
        <f>+J159+K159+#REF!</f>
        <v>#REF!</v>
      </c>
      <c r="M159" s="67">
        <v>3191487.29</v>
      </c>
      <c r="N159" s="67">
        <v>960700</v>
      </c>
      <c r="O159" s="67">
        <f>+M159+N159</f>
        <v>4152187.29</v>
      </c>
    </row>
    <row r="160" spans="1:15" x14ac:dyDescent="0.25">
      <c r="A160" s="66" t="s">
        <v>70</v>
      </c>
      <c r="B160" s="66"/>
      <c r="C160" s="66"/>
      <c r="D160" s="66"/>
      <c r="E160" s="66" t="s">
        <v>71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7"/>
    </row>
    <row r="161" spans="1:15" x14ac:dyDescent="0.25">
      <c r="A161" s="66"/>
      <c r="B161" s="66"/>
      <c r="C161" s="66"/>
      <c r="D161" s="66"/>
      <c r="E161" s="66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 x14ac:dyDescent="0.25">
      <c r="A162" s="66" t="s">
        <v>65</v>
      </c>
      <c r="B162" s="68" t="s">
        <v>66</v>
      </c>
      <c r="C162" s="66" t="s">
        <v>95</v>
      </c>
      <c r="D162" s="68" t="s">
        <v>76</v>
      </c>
      <c r="E162" s="66" t="s">
        <v>73</v>
      </c>
      <c r="F162" s="67">
        <v>15000000</v>
      </c>
      <c r="G162" s="67">
        <f>3685742.17+1676185.88</f>
        <v>5361928.05</v>
      </c>
      <c r="H162" s="67">
        <f>2635686+1069000</f>
        <v>3704686</v>
      </c>
      <c r="I162" s="67">
        <f>+G162+H162</f>
        <v>9066614.0500000007</v>
      </c>
      <c r="J162" s="67">
        <v>1677000</v>
      </c>
      <c r="K162" s="70">
        <v>904000</v>
      </c>
      <c r="L162" s="67" t="e">
        <f>+J162+K162+#REF!</f>
        <v>#REF!</v>
      </c>
      <c r="M162" s="67">
        <v>9637257.8300000001</v>
      </c>
      <c r="N162" s="67">
        <v>2901200</v>
      </c>
      <c r="O162" s="67">
        <f>+M162+N162</f>
        <v>12538457.83</v>
      </c>
    </row>
    <row r="163" spans="1:15" x14ac:dyDescent="0.25">
      <c r="A163" s="66"/>
      <c r="B163" s="66"/>
      <c r="C163" s="66" t="s">
        <v>96</v>
      </c>
      <c r="D163" s="66"/>
      <c r="E163" s="66" t="s">
        <v>71</v>
      </c>
      <c r="F163" s="67"/>
      <c r="G163" s="67"/>
      <c r="H163" s="67"/>
      <c r="I163" s="67"/>
      <c r="J163" s="67"/>
      <c r="K163" s="67"/>
      <c r="L163" s="67"/>
      <c r="M163" s="67"/>
      <c r="N163" s="67"/>
      <c r="O163" s="67"/>
    </row>
    <row r="164" spans="1:15" x14ac:dyDescent="0.25">
      <c r="A164" s="71" t="s">
        <v>36</v>
      </c>
      <c r="B164" s="72"/>
      <c r="C164" s="72"/>
      <c r="D164" s="72"/>
      <c r="E164" s="71"/>
      <c r="F164" s="73">
        <f t="shared" ref="F164:O164" si="4">SUM(F142:F163)</f>
        <v>110300366.41</v>
      </c>
      <c r="G164" s="73">
        <f t="shared" si="4"/>
        <v>56533217.959999993</v>
      </c>
      <c r="H164" s="73">
        <f t="shared" si="4"/>
        <v>22911490</v>
      </c>
      <c r="I164" s="73">
        <f t="shared" si="4"/>
        <v>79444707.959999993</v>
      </c>
      <c r="J164" s="73">
        <f t="shared" si="4"/>
        <v>14088000</v>
      </c>
      <c r="K164" s="73">
        <f t="shared" si="4"/>
        <v>4907000</v>
      </c>
      <c r="L164" s="73" t="e">
        <f t="shared" si="4"/>
        <v>#REF!</v>
      </c>
      <c r="M164" s="73">
        <f t="shared" si="4"/>
        <v>53760504.009999998</v>
      </c>
      <c r="N164" s="73">
        <f t="shared" si="4"/>
        <v>13999500</v>
      </c>
      <c r="O164" s="73">
        <f t="shared" si="4"/>
        <v>67760004.010000005</v>
      </c>
    </row>
    <row r="165" spans="1:15" x14ac:dyDescent="0.25">
      <c r="A165" s="74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1:15" x14ac:dyDescent="0.25">
      <c r="A166" s="74" t="s">
        <v>78</v>
      </c>
      <c r="B166" s="75"/>
      <c r="C166" s="75"/>
      <c r="D166" s="75"/>
      <c r="E166" s="75"/>
      <c r="F166" s="75"/>
      <c r="G166" s="75"/>
      <c r="H166" s="75"/>
      <c r="I166" s="75"/>
      <c r="J166" s="75" t="s">
        <v>79</v>
      </c>
      <c r="K166" s="75"/>
      <c r="L166" s="75"/>
      <c r="M166" s="75"/>
      <c r="N166" s="75"/>
      <c r="O166" s="76"/>
    </row>
    <row r="167" spans="1:15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1:15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x14ac:dyDescent="0.25">
      <c r="A169" s="75" t="s">
        <v>97</v>
      </c>
      <c r="B169" s="75"/>
      <c r="C169" s="75"/>
      <c r="D169" s="75"/>
      <c r="E169" s="75"/>
      <c r="F169" s="75"/>
      <c r="G169" s="75"/>
      <c r="H169" s="75"/>
      <c r="I169" s="75"/>
      <c r="J169" s="75" t="s">
        <v>98</v>
      </c>
      <c r="K169" s="75"/>
      <c r="L169" s="75"/>
      <c r="M169" s="75"/>
      <c r="N169" s="75"/>
      <c r="O169" s="75"/>
    </row>
    <row r="170" spans="1:15" x14ac:dyDescent="0.25">
      <c r="A170" s="75" t="s">
        <v>99</v>
      </c>
      <c r="B170" s="75"/>
      <c r="C170" s="75"/>
      <c r="D170" s="75"/>
      <c r="E170" s="75"/>
      <c r="F170" s="75"/>
      <c r="G170" s="75"/>
      <c r="H170" s="75"/>
      <c r="I170" s="75"/>
      <c r="J170" s="75" t="s">
        <v>81</v>
      </c>
      <c r="K170" s="75"/>
      <c r="L170" s="75"/>
      <c r="M170" s="75"/>
      <c r="N170" s="75"/>
      <c r="O170" s="75"/>
    </row>
    <row r="171" spans="1:15" x14ac:dyDescent="0.2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</sheetData>
  <mergeCells count="45">
    <mergeCell ref="A138:O138"/>
    <mergeCell ref="G139:I139"/>
    <mergeCell ref="J139:L139"/>
    <mergeCell ref="M139:O139"/>
    <mergeCell ref="G140:I140"/>
    <mergeCell ref="J140:L140"/>
    <mergeCell ref="M140:O140"/>
    <mergeCell ref="A137:L137"/>
    <mergeCell ref="A85:L85"/>
    <mergeCell ref="A86:L86"/>
    <mergeCell ref="A88:L88"/>
    <mergeCell ref="A89:O89"/>
    <mergeCell ref="G90:I90"/>
    <mergeCell ref="J90:L90"/>
    <mergeCell ref="M90:O90"/>
    <mergeCell ref="G91:I91"/>
    <mergeCell ref="J91:L91"/>
    <mergeCell ref="M91:O91"/>
    <mergeCell ref="A134:L134"/>
    <mergeCell ref="A135:L135"/>
    <mergeCell ref="G45:I45"/>
    <mergeCell ref="J45:L45"/>
    <mergeCell ref="M45:O45"/>
    <mergeCell ref="G46:I46"/>
    <mergeCell ref="J46:L46"/>
    <mergeCell ref="M46:O46"/>
    <mergeCell ref="A44:O44"/>
    <mergeCell ref="G7:I7"/>
    <mergeCell ref="J7:L7"/>
    <mergeCell ref="M7:O7"/>
    <mergeCell ref="C10:C12"/>
    <mergeCell ref="C13:C15"/>
    <mergeCell ref="C16:C18"/>
    <mergeCell ref="C19:C20"/>
    <mergeCell ref="C22:C23"/>
    <mergeCell ref="A40:L40"/>
    <mergeCell ref="A41:L41"/>
    <mergeCell ref="A43:L43"/>
    <mergeCell ref="A1:O1"/>
    <mergeCell ref="A2:O2"/>
    <mergeCell ref="A4:O4"/>
    <mergeCell ref="A5:O5"/>
    <mergeCell ref="G6:I6"/>
    <mergeCell ref="J6:L6"/>
    <mergeCell ref="M6:O6"/>
  </mergeCells>
  <pageMargins left="0.2" right="0.2" top="0.5" bottom="0.5" header="0.3" footer="0.3"/>
  <pageSetup paperSize="25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zoomScale="130" zoomScaleNormal="130" workbookViewId="0">
      <selection activeCell="D6" sqref="D6"/>
    </sheetView>
  </sheetViews>
  <sheetFormatPr defaultRowHeight="15" x14ac:dyDescent="0.25"/>
  <cols>
    <col min="1" max="1" width="1.5703125" customWidth="1"/>
    <col min="2" max="2" width="1.85546875" customWidth="1"/>
    <col min="3" max="3" width="24.85546875" customWidth="1"/>
    <col min="4" max="4" width="12" customWidth="1"/>
    <col min="5" max="5" width="12.7109375" customWidth="1"/>
    <col min="6" max="6" width="3" customWidth="1"/>
    <col min="7" max="7" width="11.85546875" customWidth="1"/>
    <col min="8" max="8" width="9.85546875" customWidth="1"/>
    <col min="9" max="10" width="12.7109375" customWidth="1"/>
    <col min="14" max="14" width="13" customWidth="1"/>
  </cols>
  <sheetData>
    <row r="1" spans="1:10" ht="18" customHeight="1" x14ac:dyDescent="0.35">
      <c r="A1" s="120" t="s">
        <v>47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8" customHeight="1" x14ac:dyDescent="0.35">
      <c r="A2" s="120" t="s">
        <v>46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" customHeight="1" x14ac:dyDescent="0.35">
      <c r="A3" s="120" t="s">
        <v>109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" customHeight="1" x14ac:dyDescent="0.3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8" customHeight="1" x14ac:dyDescent="0.35">
      <c r="A5" s="120" t="s">
        <v>110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35">
      <c r="A8" s="1" t="s">
        <v>42</v>
      </c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 x14ac:dyDescent="0.35">
      <c r="A10" s="19"/>
      <c r="B10" s="18"/>
      <c r="C10" s="28"/>
      <c r="D10" s="112" t="s">
        <v>41</v>
      </c>
      <c r="E10" s="113"/>
      <c r="F10" s="114" t="s">
        <v>40</v>
      </c>
      <c r="G10" s="38" t="s">
        <v>39</v>
      </c>
      <c r="H10" s="38" t="s">
        <v>38</v>
      </c>
      <c r="I10" s="38" t="s">
        <v>37</v>
      </c>
      <c r="J10" s="38" t="s">
        <v>36</v>
      </c>
    </row>
    <row r="11" spans="1:10" ht="18" customHeight="1" x14ac:dyDescent="0.35">
      <c r="A11" s="117" t="s">
        <v>35</v>
      </c>
      <c r="B11" s="118"/>
      <c r="C11" s="119"/>
      <c r="D11" s="38" t="s">
        <v>34</v>
      </c>
      <c r="E11" s="38" t="s">
        <v>33</v>
      </c>
      <c r="F11" s="115"/>
      <c r="G11" s="34" t="s">
        <v>32</v>
      </c>
      <c r="H11" s="34" t="s">
        <v>31</v>
      </c>
      <c r="I11" s="34" t="s">
        <v>30</v>
      </c>
      <c r="J11" s="34"/>
    </row>
    <row r="12" spans="1:10" ht="18" customHeight="1" x14ac:dyDescent="0.35">
      <c r="A12" s="85"/>
      <c r="B12" s="86"/>
      <c r="C12" s="87"/>
      <c r="D12" s="34" t="s">
        <v>29</v>
      </c>
      <c r="E12" s="34"/>
      <c r="F12" s="115"/>
      <c r="G12" s="34"/>
      <c r="H12" s="34" t="s">
        <v>28</v>
      </c>
      <c r="I12" s="34" t="s">
        <v>27</v>
      </c>
      <c r="J12" s="34"/>
    </row>
    <row r="13" spans="1:10" ht="18" customHeight="1" x14ac:dyDescent="0.35">
      <c r="A13" s="33"/>
      <c r="B13" s="32"/>
      <c r="C13" s="31"/>
      <c r="D13" s="30" t="s">
        <v>26</v>
      </c>
      <c r="E13" s="30">
        <v>0.7</v>
      </c>
      <c r="F13" s="116"/>
      <c r="G13" s="29"/>
      <c r="H13" s="29"/>
      <c r="I13" s="29"/>
      <c r="J13" s="29"/>
    </row>
    <row r="14" spans="1:10" ht="18" customHeight="1" x14ac:dyDescent="0.35">
      <c r="A14" s="9" t="s">
        <v>25</v>
      </c>
      <c r="B14" s="8" t="s">
        <v>24</v>
      </c>
      <c r="C14" s="7"/>
      <c r="D14" s="15"/>
      <c r="E14" s="15"/>
      <c r="F14" s="15"/>
      <c r="G14" s="15"/>
      <c r="H14" s="15"/>
      <c r="I14" s="15"/>
      <c r="J14" s="15"/>
    </row>
    <row r="15" spans="1:10" ht="18" customHeight="1" x14ac:dyDescent="0.35">
      <c r="A15" s="14"/>
      <c r="B15" s="13"/>
      <c r="C15" s="12" t="s">
        <v>23</v>
      </c>
      <c r="D15" s="5">
        <v>4578742</v>
      </c>
      <c r="E15" s="5">
        <v>10683731</v>
      </c>
      <c r="F15" s="5"/>
      <c r="G15" s="5"/>
      <c r="H15" s="5"/>
      <c r="I15" s="5"/>
      <c r="J15" s="5">
        <f>SUM(D15:I15)</f>
        <v>15262473</v>
      </c>
    </row>
    <row r="16" spans="1:10" ht="18" customHeight="1" x14ac:dyDescent="0.35">
      <c r="A16" s="19"/>
      <c r="B16" s="18"/>
      <c r="C16" s="28" t="s">
        <v>22</v>
      </c>
      <c r="D16" s="17"/>
      <c r="E16" s="17"/>
      <c r="F16" s="17"/>
      <c r="G16" s="17">
        <v>5871670.5</v>
      </c>
      <c r="H16" s="17"/>
      <c r="I16" s="17"/>
      <c r="J16" s="5">
        <f>SUM(D16:I16)</f>
        <v>5871670.5</v>
      </c>
    </row>
    <row r="17" spans="1:10" ht="18" customHeight="1" x14ac:dyDescent="0.35">
      <c r="A17" s="14"/>
      <c r="B17" s="13"/>
      <c r="C17" s="12" t="s">
        <v>21</v>
      </c>
      <c r="D17" s="27"/>
      <c r="E17" s="5"/>
      <c r="F17" s="5"/>
      <c r="G17" s="5"/>
      <c r="H17" s="5"/>
      <c r="I17" s="26">
        <v>6890200.3399999999</v>
      </c>
      <c r="J17" s="5">
        <f>SUM(D17:I17)</f>
        <v>6890200.3399999999</v>
      </c>
    </row>
    <row r="18" spans="1:10" ht="18" customHeight="1" x14ac:dyDescent="0.35">
      <c r="A18" s="9"/>
      <c r="B18" s="8"/>
      <c r="C18" s="7" t="s">
        <v>20</v>
      </c>
      <c r="D18" s="15"/>
      <c r="E18" s="15"/>
      <c r="F18" s="15"/>
      <c r="G18" s="15"/>
      <c r="H18" s="15"/>
      <c r="I18" s="15"/>
      <c r="J18" s="5">
        <f>SUM(D18:I18)</f>
        <v>0</v>
      </c>
    </row>
    <row r="19" spans="1:10" ht="18" customHeight="1" x14ac:dyDescent="0.35">
      <c r="A19" s="14"/>
      <c r="B19" s="13" t="s">
        <v>19</v>
      </c>
      <c r="C19" s="12"/>
      <c r="D19" s="5">
        <f>SUM(D15:D18)</f>
        <v>4578742</v>
      </c>
      <c r="E19" s="5">
        <f>SUM(E15:E18)</f>
        <v>10683731</v>
      </c>
      <c r="F19" s="5"/>
      <c r="G19" s="5">
        <f>SUM(G15:G18)</f>
        <v>5871670.5</v>
      </c>
      <c r="H19" s="5">
        <f>+H18</f>
        <v>0</v>
      </c>
      <c r="I19" s="5">
        <f>SUM(I15:I18)</f>
        <v>6890200.3399999999</v>
      </c>
      <c r="J19" s="5">
        <f>SUM(D19:I19)</f>
        <v>28024343.84</v>
      </c>
    </row>
    <row r="20" spans="1:10" ht="18" customHeight="1" x14ac:dyDescent="0.35">
      <c r="A20" s="9" t="s">
        <v>18</v>
      </c>
      <c r="B20" s="8" t="s">
        <v>17</v>
      </c>
      <c r="C20" s="7"/>
      <c r="D20" s="15"/>
      <c r="E20" s="15"/>
      <c r="F20" s="15"/>
      <c r="G20" s="15"/>
      <c r="H20" s="15"/>
      <c r="I20" s="15"/>
      <c r="J20" s="25"/>
    </row>
    <row r="21" spans="1:10" ht="18" customHeight="1" x14ac:dyDescent="0.35">
      <c r="A21" s="14"/>
      <c r="B21" s="13"/>
      <c r="C21" s="12" t="s">
        <v>16</v>
      </c>
      <c r="D21" s="5"/>
      <c r="E21" s="88">
        <v>119334.15</v>
      </c>
      <c r="F21" s="5"/>
      <c r="G21" s="5"/>
      <c r="H21" s="5"/>
      <c r="I21" s="5"/>
      <c r="J21" s="5">
        <f t="shared" ref="J21:J32" si="0">SUM(D21:I21)</f>
        <v>119334.15</v>
      </c>
    </row>
    <row r="22" spans="1:10" ht="18" customHeight="1" x14ac:dyDescent="0.35">
      <c r="A22" s="14"/>
      <c r="B22" s="13"/>
      <c r="C22" s="12" t="s">
        <v>15</v>
      </c>
      <c r="D22" s="17"/>
      <c r="E22" s="89"/>
      <c r="F22" s="17"/>
      <c r="G22" s="17"/>
      <c r="H22" s="17"/>
      <c r="I22" s="16">
        <f>9742.8+4999.3</f>
        <v>14742.099999999999</v>
      </c>
      <c r="J22" s="5">
        <f t="shared" si="0"/>
        <v>14742.099999999999</v>
      </c>
    </row>
    <row r="23" spans="1:10" ht="18" customHeight="1" x14ac:dyDescent="0.35">
      <c r="A23" s="14"/>
      <c r="B23" s="13"/>
      <c r="C23" s="24" t="s">
        <v>14</v>
      </c>
      <c r="D23" s="5"/>
      <c r="E23" s="88">
        <f>356118+264587.05</f>
        <v>620705.05000000005</v>
      </c>
      <c r="F23" s="5"/>
      <c r="G23" s="5"/>
      <c r="H23" s="5"/>
      <c r="I23" s="11"/>
      <c r="J23" s="5">
        <f t="shared" si="0"/>
        <v>620705.05000000005</v>
      </c>
    </row>
    <row r="24" spans="1:10" ht="18" customHeight="1" x14ac:dyDescent="0.35">
      <c r="A24" s="23"/>
      <c r="B24" s="22"/>
      <c r="C24" s="22" t="s">
        <v>13</v>
      </c>
      <c r="D24" s="21"/>
      <c r="E24" s="90">
        <v>78000</v>
      </c>
      <c r="F24" s="21"/>
      <c r="G24" s="21"/>
      <c r="H24" s="21"/>
      <c r="I24" s="20">
        <f>10500+241150+49500</f>
        <v>301150</v>
      </c>
      <c r="J24" s="5">
        <f t="shared" si="0"/>
        <v>379150</v>
      </c>
    </row>
    <row r="25" spans="1:10" ht="18" customHeight="1" x14ac:dyDescent="0.35">
      <c r="A25" s="19"/>
      <c r="B25" s="18"/>
      <c r="C25" s="12" t="s">
        <v>12</v>
      </c>
      <c r="D25" s="17"/>
      <c r="E25" s="89"/>
      <c r="F25" s="17"/>
      <c r="G25" s="17"/>
      <c r="H25" s="17"/>
      <c r="I25" s="16"/>
      <c r="J25" s="5">
        <f t="shared" si="0"/>
        <v>0</v>
      </c>
    </row>
    <row r="26" spans="1:10" ht="18" customHeight="1" x14ac:dyDescent="0.35">
      <c r="A26" s="14"/>
      <c r="B26" s="13"/>
      <c r="C26" s="7" t="s">
        <v>11</v>
      </c>
      <c r="D26" s="5"/>
      <c r="E26" s="88"/>
      <c r="F26" s="5"/>
      <c r="G26" s="5">
        <v>1830000</v>
      </c>
      <c r="H26" s="5"/>
      <c r="I26" s="11"/>
      <c r="J26" s="5">
        <f t="shared" si="0"/>
        <v>1830000</v>
      </c>
    </row>
    <row r="27" spans="1:10" ht="18" customHeight="1" x14ac:dyDescent="0.35">
      <c r="A27" s="9"/>
      <c r="B27" s="8"/>
      <c r="C27" s="7" t="s">
        <v>10</v>
      </c>
      <c r="D27" s="15"/>
      <c r="E27" s="91">
        <v>150000</v>
      </c>
      <c r="F27" s="15"/>
      <c r="G27" s="15">
        <f>1877926+388896.86</f>
        <v>2266822.86</v>
      </c>
      <c r="H27" s="15" t="s">
        <v>111</v>
      </c>
      <c r="I27" s="6">
        <v>43214</v>
      </c>
      <c r="J27" s="5">
        <f t="shared" si="0"/>
        <v>2460036.86</v>
      </c>
    </row>
    <row r="28" spans="1:10" ht="18" customHeight="1" x14ac:dyDescent="0.35">
      <c r="A28" s="9"/>
      <c r="B28" s="8"/>
      <c r="C28" s="7" t="s">
        <v>9</v>
      </c>
      <c r="D28" s="15"/>
      <c r="E28" s="6"/>
      <c r="F28" s="15"/>
      <c r="G28" s="15"/>
      <c r="H28" s="15"/>
      <c r="I28" s="6"/>
      <c r="J28" s="5">
        <f t="shared" si="0"/>
        <v>0</v>
      </c>
    </row>
    <row r="29" spans="1:10" ht="18" customHeight="1" x14ac:dyDescent="0.35">
      <c r="A29" s="9"/>
      <c r="B29" s="8"/>
      <c r="C29" s="7" t="s">
        <v>8</v>
      </c>
      <c r="D29" s="15"/>
      <c r="E29" s="6"/>
      <c r="F29" s="15"/>
      <c r="G29" s="15"/>
      <c r="H29" s="15"/>
      <c r="I29" s="6"/>
      <c r="J29" s="5">
        <f t="shared" si="0"/>
        <v>0</v>
      </c>
    </row>
    <row r="30" spans="1:10" ht="18" customHeight="1" x14ac:dyDescent="0.35">
      <c r="A30" s="14"/>
      <c r="B30" s="13"/>
      <c r="C30" s="12" t="s">
        <v>7</v>
      </c>
      <c r="D30" s="5"/>
      <c r="E30" s="11"/>
      <c r="F30" s="5"/>
      <c r="G30" s="5"/>
      <c r="H30" s="5"/>
      <c r="I30" s="11"/>
      <c r="J30" s="5">
        <f t="shared" si="0"/>
        <v>0</v>
      </c>
    </row>
    <row r="31" spans="1:10" ht="18" customHeight="1" x14ac:dyDescent="0.35">
      <c r="A31" s="9"/>
      <c r="B31" s="8" t="s">
        <v>6</v>
      </c>
      <c r="C31" s="7"/>
      <c r="D31" s="10">
        <f>SUM(D21:D30)</f>
        <v>0</v>
      </c>
      <c r="E31" s="10">
        <f>SUM(E21:E30)</f>
        <v>968039.20000000007</v>
      </c>
      <c r="F31" s="10"/>
      <c r="G31" s="10">
        <f>SUM(G21:G30)</f>
        <v>4096822.86</v>
      </c>
      <c r="H31" s="10">
        <f>SUM(H21:H30)</f>
        <v>0</v>
      </c>
      <c r="I31" s="10">
        <f>SUM(I21:I30)</f>
        <v>359106.1</v>
      </c>
      <c r="J31" s="5">
        <f t="shared" si="0"/>
        <v>5423968.1599999992</v>
      </c>
    </row>
    <row r="32" spans="1:10" ht="18" customHeight="1" x14ac:dyDescent="0.35">
      <c r="A32" s="9" t="s">
        <v>5</v>
      </c>
      <c r="B32" s="8"/>
      <c r="C32" s="7"/>
      <c r="D32" s="91">
        <f>+D19-D31</f>
        <v>4578742</v>
      </c>
      <c r="E32" s="91">
        <f>+E19-E31</f>
        <v>9715691.8000000007</v>
      </c>
      <c r="F32" s="6"/>
      <c r="G32" s="91">
        <f>+G19-G31</f>
        <v>1774847.6400000001</v>
      </c>
      <c r="H32" s="6">
        <f>+H19-H31</f>
        <v>0</v>
      </c>
      <c r="I32" s="6">
        <f>+I19-I31</f>
        <v>6531094.2400000002</v>
      </c>
      <c r="J32" s="5">
        <f t="shared" si="0"/>
        <v>22600375.68</v>
      </c>
    </row>
    <row r="33" spans="1:10" ht="18" customHeight="1" x14ac:dyDescent="0.35">
      <c r="A33" s="1"/>
      <c r="B33" s="1"/>
      <c r="C33" s="1"/>
      <c r="D33" s="1"/>
      <c r="E33" s="1"/>
      <c r="F33" s="1"/>
      <c r="G33" s="1"/>
      <c r="H33" s="1"/>
      <c r="I33" s="4"/>
      <c r="J33" s="2"/>
    </row>
    <row r="34" spans="1:10" ht="18" customHeight="1" x14ac:dyDescent="0.35">
      <c r="A34" s="1" t="s">
        <v>4</v>
      </c>
      <c r="B34" s="1"/>
      <c r="C34" s="1"/>
      <c r="D34" s="1"/>
      <c r="E34" s="1"/>
      <c r="F34" s="1"/>
      <c r="G34" s="3"/>
      <c r="H34" s="1"/>
      <c r="I34" s="3"/>
      <c r="J34" s="1"/>
    </row>
    <row r="35" spans="1:10" ht="18" customHeight="1" x14ac:dyDescent="0.35">
      <c r="A35" s="1"/>
      <c r="B35" s="1"/>
      <c r="C35" s="1"/>
      <c r="D35" s="1"/>
      <c r="E35" s="1"/>
      <c r="F35" s="1"/>
      <c r="G35" s="3"/>
      <c r="H35" s="1"/>
      <c r="I35" s="3"/>
      <c r="J35" s="1"/>
    </row>
    <row r="36" spans="1:10" ht="18" customHeight="1" x14ac:dyDescent="0.35">
      <c r="A36" s="1"/>
      <c r="B36" s="1"/>
      <c r="C36" s="1"/>
      <c r="D36" s="1"/>
      <c r="E36" s="1"/>
      <c r="F36" s="1"/>
      <c r="G36" s="3"/>
      <c r="H36" s="1"/>
      <c r="I36" s="3"/>
      <c r="J36" s="1"/>
    </row>
    <row r="37" spans="1:10" ht="18" customHeight="1" x14ac:dyDescent="0.35">
      <c r="A37" s="1" t="s">
        <v>3</v>
      </c>
      <c r="B37" s="1"/>
      <c r="C37" s="1"/>
      <c r="D37" s="1"/>
      <c r="E37" s="1"/>
      <c r="F37" s="1"/>
      <c r="G37" s="2"/>
      <c r="H37" s="1"/>
      <c r="I37" s="1"/>
      <c r="J37" s="1"/>
    </row>
    <row r="38" spans="1:10" ht="18" customHeight="1" x14ac:dyDescent="0.35">
      <c r="A38" s="1" t="s">
        <v>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8" customHeight="1" x14ac:dyDescent="0.35">
      <c r="A39" s="1" t="s">
        <v>1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8" customHeight="1" x14ac:dyDescent="0.3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8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6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6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6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6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6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6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6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6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6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6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6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6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6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6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6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6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6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6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6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6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6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6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6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6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6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6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6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6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6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6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6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6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6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6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6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6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6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6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6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6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6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6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6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6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6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6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6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6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6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6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6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6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6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6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6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6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6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6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6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6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6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6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6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6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6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6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6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6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6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6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6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6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6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6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6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6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6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6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6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6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6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6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6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6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6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6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6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6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6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6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6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6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6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</sheetData>
  <mergeCells count="8">
    <mergeCell ref="D10:E10"/>
    <mergeCell ref="F10:F13"/>
    <mergeCell ref="A11:C11"/>
    <mergeCell ref="A1:J1"/>
    <mergeCell ref="A2:J2"/>
    <mergeCell ref="A3:J3"/>
    <mergeCell ref="A4:J4"/>
    <mergeCell ref="A5:J5"/>
  </mergeCells>
  <pageMargins left="0.25" right="0.1" top="1.1000000000000001" bottom="1.1000000000000001" header="0.3" footer="0.3"/>
  <pageSetup paperSize="256" orientation="portrait" horizontalDpi="240" verticalDpi="14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A28" zoomScale="130" zoomScaleSheetLayoutView="130" workbookViewId="0">
      <selection activeCell="C39" sqref="C39"/>
    </sheetView>
  </sheetViews>
  <sheetFormatPr defaultRowHeight="15" x14ac:dyDescent="0.25"/>
  <cols>
    <col min="1" max="1" width="28.28515625" customWidth="1"/>
    <col min="2" max="2" width="13.28515625" customWidth="1"/>
    <col min="3" max="3" width="14.5703125" customWidth="1"/>
    <col min="4" max="4" width="12.7109375" customWidth="1"/>
    <col min="5" max="5" width="14.5703125" customWidth="1"/>
    <col min="6" max="6" width="14.85546875" customWidth="1"/>
    <col min="7" max="7" width="18.85546875" customWidth="1"/>
  </cols>
  <sheetData>
    <row r="1" spans="1:11" ht="14.1" customHeight="1" x14ac:dyDescent="0.25">
      <c r="A1" s="152" t="s">
        <v>112</v>
      </c>
      <c r="B1" s="152"/>
      <c r="C1" s="152"/>
      <c r="D1" s="152"/>
      <c r="E1" s="92"/>
      <c r="F1" s="92"/>
      <c r="G1" s="92"/>
    </row>
    <row r="2" spans="1:11" ht="14.1" customHeight="1" x14ac:dyDescent="0.25">
      <c r="A2" s="92" t="s">
        <v>113</v>
      </c>
      <c r="B2" s="92"/>
      <c r="C2" s="92"/>
      <c r="D2" s="92"/>
      <c r="E2" s="92"/>
      <c r="F2" s="92"/>
      <c r="G2" s="92"/>
    </row>
    <row r="3" spans="1:11" ht="14.1" customHeight="1" x14ac:dyDescent="0.25">
      <c r="A3" s="153" t="s">
        <v>114</v>
      </c>
      <c r="B3" s="153"/>
      <c r="C3" s="153"/>
      <c r="D3" s="153"/>
      <c r="E3" s="153"/>
      <c r="F3" s="153"/>
      <c r="G3" s="153"/>
    </row>
    <row r="4" spans="1:11" ht="14.1" customHeight="1" x14ac:dyDescent="0.25">
      <c r="A4" s="153" t="s">
        <v>115</v>
      </c>
      <c r="B4" s="153"/>
      <c r="C4" s="153"/>
      <c r="D4" s="153"/>
      <c r="E4" s="153"/>
      <c r="F4" s="153"/>
      <c r="G4" s="153"/>
    </row>
    <row r="5" spans="1:11" ht="14.1" customHeight="1" x14ac:dyDescent="0.25">
      <c r="A5" s="153" t="s">
        <v>50</v>
      </c>
      <c r="B5" s="153"/>
      <c r="C5" s="153"/>
      <c r="D5" s="153"/>
      <c r="E5" s="153"/>
      <c r="F5" s="153"/>
      <c r="G5" s="153"/>
      <c r="H5" s="93"/>
      <c r="I5" s="93"/>
      <c r="J5" s="93"/>
      <c r="K5" s="93"/>
    </row>
    <row r="6" spans="1:11" ht="14.1" customHeight="1" x14ac:dyDescent="0.25">
      <c r="A6" s="92"/>
      <c r="B6" s="92"/>
      <c r="C6" s="92"/>
      <c r="D6" s="92"/>
      <c r="E6" s="92"/>
      <c r="F6" s="92"/>
      <c r="G6" s="92"/>
    </row>
    <row r="7" spans="1:11" ht="14.1" customHeight="1" x14ac:dyDescent="0.25">
      <c r="A7" s="154" t="s">
        <v>116</v>
      </c>
      <c r="B7" s="155" t="s">
        <v>117</v>
      </c>
      <c r="C7" s="155"/>
      <c r="D7" s="154" t="s">
        <v>118</v>
      </c>
      <c r="E7" s="154" t="s">
        <v>119</v>
      </c>
      <c r="F7" s="156" t="s">
        <v>120</v>
      </c>
      <c r="G7" s="154" t="s">
        <v>36</v>
      </c>
    </row>
    <row r="8" spans="1:11" ht="14.1" customHeight="1" x14ac:dyDescent="0.25">
      <c r="A8" s="154"/>
      <c r="B8" s="157" t="s">
        <v>121</v>
      </c>
      <c r="C8" s="156" t="s">
        <v>122</v>
      </c>
      <c r="D8" s="154"/>
      <c r="E8" s="154"/>
      <c r="F8" s="154"/>
      <c r="G8" s="154"/>
    </row>
    <row r="9" spans="1:11" ht="14.1" customHeight="1" x14ac:dyDescent="0.25">
      <c r="A9" s="154"/>
      <c r="B9" s="155"/>
      <c r="C9" s="154"/>
      <c r="D9" s="154"/>
      <c r="E9" s="154"/>
      <c r="F9" s="154"/>
      <c r="G9" s="154"/>
    </row>
    <row r="10" spans="1:11" ht="14.1" customHeight="1" x14ac:dyDescent="0.25">
      <c r="A10" s="154"/>
      <c r="B10" s="155"/>
      <c r="C10" s="154"/>
      <c r="D10" s="154"/>
      <c r="E10" s="154"/>
      <c r="F10" s="154"/>
      <c r="G10" s="154"/>
    </row>
    <row r="11" spans="1:11" ht="14.1" customHeight="1" x14ac:dyDescent="0.25">
      <c r="A11" s="94" t="s">
        <v>123</v>
      </c>
      <c r="B11" s="95"/>
      <c r="C11" s="95"/>
      <c r="D11" s="95"/>
      <c r="E11" s="95"/>
      <c r="F11" s="95"/>
      <c r="G11" s="95"/>
    </row>
    <row r="12" spans="1:11" ht="14.1" customHeight="1" x14ac:dyDescent="0.25">
      <c r="A12" s="96" t="s">
        <v>124</v>
      </c>
      <c r="B12" s="95">
        <v>5472000</v>
      </c>
      <c r="C12" s="95">
        <v>12768000</v>
      </c>
      <c r="D12" s="95"/>
      <c r="E12" s="95"/>
      <c r="F12" s="95"/>
      <c r="G12" s="97">
        <f>SUM(B12:F12)</f>
        <v>18240000</v>
      </c>
    </row>
    <row r="13" spans="1:11" ht="14.1" customHeight="1" x14ac:dyDescent="0.25">
      <c r="A13" s="96" t="s">
        <v>125</v>
      </c>
      <c r="B13" s="95"/>
      <c r="C13" s="95">
        <v>2377228.58</v>
      </c>
      <c r="D13" s="95"/>
      <c r="E13" s="95"/>
      <c r="F13" s="95"/>
      <c r="G13" s="95">
        <f t="shared" ref="G13:G20" si="0">SUM(B13:F13)</f>
        <v>2377228.58</v>
      </c>
    </row>
    <row r="14" spans="1:11" ht="14.1" customHeight="1" x14ac:dyDescent="0.25">
      <c r="A14" s="98" t="s">
        <v>126</v>
      </c>
      <c r="B14" s="99"/>
      <c r="C14" s="99"/>
      <c r="D14" s="99"/>
      <c r="E14" s="99"/>
      <c r="F14" s="99"/>
      <c r="G14" s="95">
        <f t="shared" si="0"/>
        <v>0</v>
      </c>
    </row>
    <row r="15" spans="1:11" ht="14.1" customHeight="1" x14ac:dyDescent="0.25">
      <c r="A15" s="100" t="s">
        <v>127</v>
      </c>
      <c r="B15" s="99"/>
      <c r="C15" s="99"/>
      <c r="D15" s="99"/>
      <c r="E15" s="99"/>
      <c r="F15" s="99">
        <v>140000</v>
      </c>
      <c r="G15" s="95">
        <f t="shared" si="0"/>
        <v>140000</v>
      </c>
    </row>
    <row r="16" spans="1:11" ht="14.1" customHeight="1" x14ac:dyDescent="0.25">
      <c r="A16" s="100" t="s">
        <v>128</v>
      </c>
      <c r="B16" s="99"/>
      <c r="C16" s="99"/>
      <c r="D16" s="99"/>
      <c r="E16" s="99"/>
      <c r="F16" s="99">
        <v>16658.2</v>
      </c>
      <c r="G16" s="95">
        <f t="shared" si="0"/>
        <v>16658.2</v>
      </c>
    </row>
    <row r="17" spans="1:7" ht="14.1" customHeight="1" x14ac:dyDescent="0.25">
      <c r="A17" s="100" t="s">
        <v>129</v>
      </c>
      <c r="B17" s="99"/>
      <c r="C17" s="99"/>
      <c r="D17" s="99"/>
      <c r="E17" s="99"/>
      <c r="F17" s="99">
        <v>2438125</v>
      </c>
      <c r="G17" s="95">
        <f t="shared" si="0"/>
        <v>2438125</v>
      </c>
    </row>
    <row r="18" spans="1:7" ht="14.1" customHeight="1" x14ac:dyDescent="0.25">
      <c r="A18" s="100" t="s">
        <v>130</v>
      </c>
      <c r="B18" s="99"/>
      <c r="C18" s="99"/>
      <c r="D18" s="99"/>
      <c r="E18" s="99"/>
      <c r="F18" s="99">
        <v>1822160.46</v>
      </c>
      <c r="G18" s="95">
        <f t="shared" si="0"/>
        <v>1822160.46</v>
      </c>
    </row>
    <row r="19" spans="1:7" ht="14.1" customHeight="1" x14ac:dyDescent="0.25">
      <c r="A19" s="100" t="s">
        <v>131</v>
      </c>
      <c r="B19" s="99"/>
      <c r="C19" s="99"/>
      <c r="D19" s="99"/>
      <c r="E19" s="99"/>
      <c r="F19" s="99">
        <v>3008294.13</v>
      </c>
      <c r="G19" s="95">
        <f t="shared" si="0"/>
        <v>3008294.13</v>
      </c>
    </row>
    <row r="20" spans="1:7" ht="14.1" customHeight="1" x14ac:dyDescent="0.25">
      <c r="A20" s="101" t="s">
        <v>132</v>
      </c>
      <c r="B20" s="99"/>
      <c r="C20" s="102"/>
      <c r="D20" s="99"/>
      <c r="E20" s="102">
        <v>3146.8</v>
      </c>
      <c r="F20" s="99"/>
      <c r="G20" s="95">
        <f t="shared" si="0"/>
        <v>3146.8</v>
      </c>
    </row>
    <row r="21" spans="1:7" ht="14.1" customHeight="1" x14ac:dyDescent="0.25">
      <c r="A21" s="94" t="s">
        <v>133</v>
      </c>
      <c r="B21" s="103">
        <f>SUM(B11:B20)</f>
        <v>5472000</v>
      </c>
      <c r="C21" s="103">
        <f t="shared" ref="C21:G21" si="1">SUM(C11:C20)</f>
        <v>15145228.58</v>
      </c>
      <c r="D21" s="103">
        <f t="shared" si="1"/>
        <v>0</v>
      </c>
      <c r="E21" s="103">
        <f>+E20</f>
        <v>3146.8</v>
      </c>
      <c r="F21" s="103">
        <f t="shared" si="1"/>
        <v>7425237.79</v>
      </c>
      <c r="G21" s="103">
        <f t="shared" si="1"/>
        <v>28045613.169999998</v>
      </c>
    </row>
    <row r="22" spans="1:7" ht="14.1" customHeight="1" x14ac:dyDescent="0.25">
      <c r="A22" s="94" t="s">
        <v>134</v>
      </c>
      <c r="B22" s="103"/>
      <c r="C22" s="103"/>
      <c r="D22" s="103"/>
      <c r="E22" s="103"/>
      <c r="F22" s="103"/>
      <c r="G22" s="103"/>
    </row>
    <row r="23" spans="1:7" ht="14.1" customHeight="1" x14ac:dyDescent="0.25">
      <c r="A23" s="94" t="s">
        <v>135</v>
      </c>
      <c r="B23" s="104"/>
      <c r="C23" s="105"/>
      <c r="D23" s="103"/>
      <c r="E23" s="103"/>
      <c r="F23" s="104"/>
      <c r="G23" s="95">
        <f t="shared" ref="G23:G34" si="2">SUM(B23:F23)</f>
        <v>0</v>
      </c>
    </row>
    <row r="24" spans="1:7" ht="14.1" customHeight="1" x14ac:dyDescent="0.25">
      <c r="A24" s="94" t="s">
        <v>136</v>
      </c>
      <c r="B24" s="104"/>
      <c r="C24" s="105">
        <v>371444.3</v>
      </c>
      <c r="D24" s="103"/>
      <c r="E24" s="103"/>
      <c r="F24" s="104"/>
      <c r="G24" s="95">
        <f t="shared" si="2"/>
        <v>371444.3</v>
      </c>
    </row>
    <row r="25" spans="1:7" ht="14.1" customHeight="1" x14ac:dyDescent="0.25">
      <c r="A25" s="94" t="s">
        <v>137</v>
      </c>
      <c r="B25" s="104"/>
      <c r="C25" s="105">
        <v>7024</v>
      </c>
      <c r="D25" s="103"/>
      <c r="E25" s="103"/>
      <c r="F25" s="104">
        <v>1638986.25</v>
      </c>
      <c r="G25" s="95">
        <f t="shared" si="2"/>
        <v>1646010.25</v>
      </c>
    </row>
    <row r="26" spans="1:7" ht="14.1" customHeight="1" x14ac:dyDescent="0.25">
      <c r="A26" s="94" t="s">
        <v>138</v>
      </c>
      <c r="B26" s="104">
        <v>4371126</v>
      </c>
      <c r="C26" s="105">
        <f>535218.5+904014.5+75000+1589860</f>
        <v>3104093</v>
      </c>
      <c r="D26" s="103"/>
      <c r="E26" s="103"/>
      <c r="F26" s="104"/>
      <c r="G26" s="95">
        <f t="shared" si="2"/>
        <v>7475219</v>
      </c>
    </row>
    <row r="27" spans="1:7" ht="14.1" customHeight="1" x14ac:dyDescent="0.25">
      <c r="A27" s="94" t="s">
        <v>139</v>
      </c>
      <c r="B27" s="104"/>
      <c r="C27" s="105">
        <v>73500</v>
      </c>
      <c r="D27" s="103"/>
      <c r="E27" s="103"/>
      <c r="F27" s="104"/>
      <c r="G27" s="95">
        <f t="shared" si="2"/>
        <v>73500</v>
      </c>
    </row>
    <row r="28" spans="1:7" ht="14.1" customHeight="1" x14ac:dyDescent="0.25">
      <c r="A28" s="94" t="s">
        <v>140</v>
      </c>
      <c r="B28" s="104"/>
      <c r="C28" s="105">
        <v>257806</v>
      </c>
      <c r="D28" s="103"/>
      <c r="E28" s="103"/>
      <c r="F28" s="104"/>
      <c r="G28" s="95">
        <f t="shared" si="2"/>
        <v>257806</v>
      </c>
    </row>
    <row r="29" spans="1:7" ht="14.1" customHeight="1" x14ac:dyDescent="0.25">
      <c r="A29" s="94" t="s">
        <v>141</v>
      </c>
      <c r="B29" s="104"/>
      <c r="C29" s="105">
        <v>538185.5</v>
      </c>
      <c r="D29" s="103"/>
      <c r="E29" s="103"/>
      <c r="F29" s="104">
        <f>106545.74+340731</f>
        <v>447276.74</v>
      </c>
      <c r="G29" s="95">
        <f t="shared" si="2"/>
        <v>985462.24</v>
      </c>
    </row>
    <row r="30" spans="1:7" ht="14.1" customHeight="1" x14ac:dyDescent="0.25">
      <c r="A30" s="94" t="s">
        <v>142</v>
      </c>
      <c r="B30" s="104"/>
      <c r="C30" s="105">
        <v>213570.5</v>
      </c>
      <c r="D30" s="103"/>
      <c r="E30" s="103"/>
      <c r="F30" s="104">
        <f>154807+61386</f>
        <v>216193</v>
      </c>
      <c r="G30" s="95"/>
    </row>
    <row r="31" spans="1:7" ht="14.1" customHeight="1" x14ac:dyDescent="0.25">
      <c r="A31" s="96" t="s">
        <v>143</v>
      </c>
      <c r="B31" s="97"/>
      <c r="C31" s="106">
        <f>199500+694810</f>
        <v>894310</v>
      </c>
      <c r="D31" s="95"/>
      <c r="E31" s="95"/>
      <c r="F31" s="97">
        <v>98000</v>
      </c>
      <c r="G31" s="95">
        <f t="shared" si="2"/>
        <v>992310</v>
      </c>
    </row>
    <row r="32" spans="1:7" ht="14.1" customHeight="1" x14ac:dyDescent="0.25">
      <c r="A32" s="96" t="s">
        <v>144</v>
      </c>
      <c r="B32" s="97"/>
      <c r="C32" s="106">
        <v>2782000</v>
      </c>
      <c r="D32" s="95"/>
      <c r="E32" s="95"/>
      <c r="F32" s="97"/>
      <c r="G32" s="95"/>
    </row>
    <row r="33" spans="1:7" ht="14.1" customHeight="1" x14ac:dyDescent="0.25">
      <c r="A33" s="96" t="s">
        <v>145</v>
      </c>
      <c r="B33" s="97"/>
      <c r="C33" s="97"/>
      <c r="D33" s="95"/>
      <c r="E33" s="95"/>
      <c r="F33" s="95"/>
      <c r="G33" s="95"/>
    </row>
    <row r="34" spans="1:7" ht="14.1" customHeight="1" x14ac:dyDescent="0.25">
      <c r="A34" s="96" t="s">
        <v>146</v>
      </c>
      <c r="B34" s="97">
        <f>SUM(B23:B33)</f>
        <v>4371126</v>
      </c>
      <c r="C34" s="97">
        <f>SUM(C23:C33)</f>
        <v>8241933.2999999998</v>
      </c>
      <c r="D34" s="95">
        <f>SUM(D23:D33)</f>
        <v>0</v>
      </c>
      <c r="E34" s="95">
        <f>SUM(E23:E33)</f>
        <v>0</v>
      </c>
      <c r="F34" s="95">
        <f>SUM(F23:F33)</f>
        <v>2400455.9900000002</v>
      </c>
      <c r="G34" s="95">
        <f t="shared" si="2"/>
        <v>15013515.290000001</v>
      </c>
    </row>
    <row r="35" spans="1:7" ht="14.1" customHeight="1" x14ac:dyDescent="0.25">
      <c r="A35" s="96" t="s">
        <v>147</v>
      </c>
      <c r="B35" s="97">
        <f t="shared" ref="B35:G35" si="3">+B21-B34</f>
        <v>1100874</v>
      </c>
      <c r="C35" s="97">
        <f t="shared" si="3"/>
        <v>6903295.2800000003</v>
      </c>
      <c r="D35" s="95">
        <f t="shared" si="3"/>
        <v>0</v>
      </c>
      <c r="E35" s="95">
        <f>+E20-E34</f>
        <v>3146.8</v>
      </c>
      <c r="F35" s="95">
        <f t="shared" si="3"/>
        <v>5024781.8</v>
      </c>
      <c r="G35" s="95">
        <f t="shared" si="3"/>
        <v>13032097.879999997</v>
      </c>
    </row>
    <row r="36" spans="1:7" ht="14.1" customHeight="1" x14ac:dyDescent="0.25">
      <c r="A36" s="92"/>
      <c r="B36" s="92"/>
      <c r="C36" s="92"/>
      <c r="D36" s="92"/>
      <c r="E36" s="92"/>
      <c r="F36" s="92"/>
      <c r="G36" s="92"/>
    </row>
    <row r="37" spans="1:7" ht="14.1" customHeight="1" x14ac:dyDescent="0.25">
      <c r="A37" s="150" t="s">
        <v>148</v>
      </c>
      <c r="B37" s="150"/>
      <c r="C37" s="150"/>
      <c r="D37" s="150"/>
      <c r="E37" s="150"/>
      <c r="F37" s="150"/>
      <c r="G37" s="150"/>
    </row>
    <row r="38" spans="1:7" ht="14.1" customHeight="1" x14ac:dyDescent="0.25">
      <c r="A38" s="107"/>
      <c r="B38" s="107"/>
      <c r="C38" s="107"/>
      <c r="D38" s="107"/>
      <c r="E38" s="107"/>
      <c r="F38" s="107"/>
      <c r="G38" s="107"/>
    </row>
    <row r="39" spans="1:7" ht="14.1" customHeight="1" x14ac:dyDescent="0.25">
      <c r="A39" s="92"/>
      <c r="B39" s="92"/>
      <c r="C39" s="108"/>
      <c r="D39" s="108"/>
      <c r="E39" s="108"/>
      <c r="F39" s="108"/>
      <c r="G39" s="108"/>
    </row>
    <row r="40" spans="1:7" ht="14.1" customHeight="1" x14ac:dyDescent="0.25">
      <c r="A40" s="151" t="s">
        <v>97</v>
      </c>
      <c r="B40" s="151"/>
      <c r="C40" s="92"/>
      <c r="D40" s="92"/>
      <c r="E40" s="92"/>
      <c r="F40" s="92"/>
      <c r="G40" s="92"/>
    </row>
    <row r="41" spans="1:7" ht="14.1" customHeight="1" x14ac:dyDescent="0.25">
      <c r="A41" s="151" t="s">
        <v>149</v>
      </c>
      <c r="B41" s="151"/>
      <c r="C41" s="92"/>
      <c r="D41" s="92"/>
      <c r="E41" s="92"/>
      <c r="F41" s="92"/>
      <c r="G41" s="92"/>
    </row>
    <row r="42" spans="1:7" ht="14.1" customHeight="1" x14ac:dyDescent="0.25"/>
    <row r="43" spans="1:7" ht="14.1" customHeight="1" x14ac:dyDescent="0.25"/>
    <row r="44" spans="1:7" ht="14.1" customHeight="1" x14ac:dyDescent="0.25"/>
    <row r="45" spans="1:7" ht="14.1" customHeight="1" x14ac:dyDescent="0.25"/>
    <row r="46" spans="1:7" ht="14.1" customHeight="1" x14ac:dyDescent="0.25"/>
    <row r="47" spans="1:7" ht="14.1" customHeight="1" x14ac:dyDescent="0.25"/>
    <row r="48" spans="1:7" ht="15" customHeight="1" x14ac:dyDescent="0.25"/>
    <row r="49" ht="15" customHeight="1" x14ac:dyDescent="0.25"/>
    <row r="50" ht="15" customHeight="1" x14ac:dyDescent="0.25"/>
  </sheetData>
  <mergeCells count="15">
    <mergeCell ref="A37:G37"/>
    <mergeCell ref="A40:B40"/>
    <mergeCell ref="A41:B41"/>
    <mergeCell ref="A1:D1"/>
    <mergeCell ref="A3:G3"/>
    <mergeCell ref="A4:G4"/>
    <mergeCell ref="A5:G5"/>
    <mergeCell ref="A7:A10"/>
    <mergeCell ref="B7:C7"/>
    <mergeCell ref="D7:D10"/>
    <mergeCell ref="E7:E10"/>
    <mergeCell ref="F7:F10"/>
    <mergeCell ref="G7:G10"/>
    <mergeCell ref="B8:B10"/>
    <mergeCell ref="C8:C10"/>
  </mergeCells>
  <pageMargins left="1.75" right="0.5" top="0.5" bottom="0.25" header="0.31496062992126" footer="0.31496062992126"/>
  <pageSetup paperSize="256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25" zoomScale="130" zoomScaleSheetLayoutView="130" workbookViewId="0">
      <selection activeCell="A42" sqref="A42"/>
    </sheetView>
  </sheetViews>
  <sheetFormatPr defaultRowHeight="15" x14ac:dyDescent="0.25"/>
  <cols>
    <col min="1" max="1" width="33.5703125" customWidth="1"/>
    <col min="2" max="2" width="13.28515625" customWidth="1"/>
    <col min="3" max="3" width="14.5703125" customWidth="1"/>
    <col min="4" max="4" width="12.7109375" customWidth="1"/>
    <col min="5" max="5" width="14.5703125" customWidth="1"/>
    <col min="6" max="6" width="14.85546875" customWidth="1"/>
    <col min="7" max="7" width="18.85546875" customWidth="1"/>
  </cols>
  <sheetData>
    <row r="1" spans="1:11" ht="14.1" customHeight="1" x14ac:dyDescent="0.25">
      <c r="A1" s="152" t="s">
        <v>112</v>
      </c>
      <c r="B1" s="152"/>
      <c r="C1" s="152"/>
      <c r="D1" s="152"/>
      <c r="E1" s="92"/>
      <c r="F1" s="92"/>
      <c r="G1" s="92"/>
    </row>
    <row r="2" spans="1:11" ht="14.1" customHeight="1" x14ac:dyDescent="0.25">
      <c r="A2" s="92" t="s">
        <v>113</v>
      </c>
      <c r="B2" s="92"/>
      <c r="C2" s="92"/>
      <c r="D2" s="92"/>
      <c r="E2" s="92"/>
      <c r="F2" s="92"/>
      <c r="G2" s="92"/>
    </row>
    <row r="3" spans="1:11" ht="14.1" customHeight="1" x14ac:dyDescent="0.25">
      <c r="A3" s="153" t="s">
        <v>114</v>
      </c>
      <c r="B3" s="153"/>
      <c r="C3" s="153"/>
      <c r="D3" s="153"/>
      <c r="E3" s="153"/>
      <c r="F3" s="153"/>
      <c r="G3" s="153"/>
    </row>
    <row r="4" spans="1:11" ht="14.1" customHeight="1" x14ac:dyDescent="0.25">
      <c r="A4" s="153" t="s">
        <v>150</v>
      </c>
      <c r="B4" s="153"/>
      <c r="C4" s="153"/>
      <c r="D4" s="153"/>
      <c r="E4" s="153"/>
      <c r="F4" s="153"/>
      <c r="G4" s="153"/>
    </row>
    <row r="5" spans="1:11" ht="14.1" customHeight="1" x14ac:dyDescent="0.25">
      <c r="A5" s="153" t="s">
        <v>50</v>
      </c>
      <c r="B5" s="153"/>
      <c r="C5" s="153"/>
      <c r="D5" s="153"/>
      <c r="E5" s="153"/>
      <c r="F5" s="153"/>
      <c r="G5" s="153"/>
      <c r="H5" s="93"/>
      <c r="I5" s="93"/>
      <c r="J5" s="93"/>
      <c r="K5" s="93"/>
    </row>
    <row r="6" spans="1:11" ht="2.25" customHeight="1" x14ac:dyDescent="0.25">
      <c r="A6" s="92"/>
      <c r="B6" s="92"/>
      <c r="C6" s="92"/>
      <c r="D6" s="92"/>
      <c r="E6" s="92"/>
      <c r="F6" s="92"/>
      <c r="G6" s="92"/>
    </row>
    <row r="7" spans="1:11" ht="14.1" customHeight="1" x14ac:dyDescent="0.25">
      <c r="A7" s="154" t="s">
        <v>116</v>
      </c>
      <c r="B7" s="155" t="s">
        <v>117</v>
      </c>
      <c r="C7" s="155"/>
      <c r="D7" s="154" t="s">
        <v>118</v>
      </c>
      <c r="E7" s="154" t="s">
        <v>119</v>
      </c>
      <c r="F7" s="156" t="s">
        <v>120</v>
      </c>
      <c r="G7" s="154" t="s">
        <v>36</v>
      </c>
    </row>
    <row r="8" spans="1:11" ht="12" customHeight="1" x14ac:dyDescent="0.25">
      <c r="A8" s="154"/>
      <c r="B8" s="158" t="s">
        <v>121</v>
      </c>
      <c r="C8" s="156" t="s">
        <v>122</v>
      </c>
      <c r="D8" s="154"/>
      <c r="E8" s="154"/>
      <c r="F8" s="154"/>
      <c r="G8" s="154"/>
    </row>
    <row r="9" spans="1:11" ht="12" customHeight="1" x14ac:dyDescent="0.25">
      <c r="A9" s="154"/>
      <c r="B9" s="159"/>
      <c r="C9" s="154"/>
      <c r="D9" s="154"/>
      <c r="E9" s="154"/>
      <c r="F9" s="154"/>
      <c r="G9" s="154"/>
    </row>
    <row r="10" spans="1:11" ht="12" customHeight="1" x14ac:dyDescent="0.25">
      <c r="A10" s="154"/>
      <c r="B10" s="160"/>
      <c r="C10" s="154"/>
      <c r="D10" s="154"/>
      <c r="E10" s="154"/>
      <c r="F10" s="154"/>
      <c r="G10" s="154"/>
    </row>
    <row r="11" spans="1:11" ht="14.1" customHeight="1" x14ac:dyDescent="0.25">
      <c r="A11" s="94" t="s">
        <v>123</v>
      </c>
      <c r="B11" s="95"/>
      <c r="C11" s="95"/>
      <c r="D11" s="95"/>
      <c r="E11" s="95"/>
      <c r="F11" s="95"/>
      <c r="G11" s="95"/>
    </row>
    <row r="12" spans="1:11" ht="14.1" customHeight="1" x14ac:dyDescent="0.25">
      <c r="A12" s="96" t="s">
        <v>124</v>
      </c>
      <c r="B12" s="110">
        <v>7820974</v>
      </c>
      <c r="C12" s="110">
        <f>10848939+7400000</f>
        <v>18248939</v>
      </c>
      <c r="D12" s="95"/>
      <c r="E12" s="95"/>
      <c r="F12" s="95"/>
      <c r="G12" s="97">
        <f>SUM(B12:F12)</f>
        <v>26069913</v>
      </c>
    </row>
    <row r="13" spans="1:11" ht="14.1" customHeight="1" x14ac:dyDescent="0.25">
      <c r="A13" s="96" t="s">
        <v>125</v>
      </c>
      <c r="B13" s="110"/>
      <c r="C13" s="110">
        <v>1925382.2</v>
      </c>
      <c r="D13" s="95"/>
      <c r="E13" s="95"/>
      <c r="F13" s="95"/>
      <c r="G13" s="95">
        <f t="shared" ref="G13:G20" si="0">SUM(B13:F13)</f>
        <v>1925382.2</v>
      </c>
    </row>
    <row r="14" spans="1:11" ht="14.1" customHeight="1" x14ac:dyDescent="0.25">
      <c r="A14" s="98" t="s">
        <v>126</v>
      </c>
      <c r="B14" s="99"/>
      <c r="C14" s="99"/>
      <c r="D14" s="99"/>
      <c r="E14" s="99"/>
      <c r="F14" s="99"/>
      <c r="G14" s="95">
        <f t="shared" si="0"/>
        <v>0</v>
      </c>
    </row>
    <row r="15" spans="1:11" ht="14.1" customHeight="1" x14ac:dyDescent="0.25">
      <c r="A15" s="100" t="s">
        <v>151</v>
      </c>
      <c r="B15" s="99"/>
      <c r="C15" s="99"/>
      <c r="D15" s="99"/>
      <c r="E15" s="99"/>
      <c r="F15" s="99">
        <v>2680651.77</v>
      </c>
      <c r="G15" s="95">
        <f t="shared" si="0"/>
        <v>2680651.77</v>
      </c>
    </row>
    <row r="16" spans="1:11" ht="14.1" customHeight="1" x14ac:dyDescent="0.25">
      <c r="A16" s="100" t="s">
        <v>152</v>
      </c>
      <c r="B16" s="99"/>
      <c r="C16" s="99"/>
      <c r="D16" s="99"/>
      <c r="E16" s="99"/>
      <c r="F16" s="99">
        <v>365863.53</v>
      </c>
      <c r="G16" s="95">
        <f t="shared" si="0"/>
        <v>365863.53</v>
      </c>
    </row>
    <row r="17" spans="1:7" ht="14.1" customHeight="1" x14ac:dyDescent="0.25">
      <c r="A17" s="100" t="s">
        <v>153</v>
      </c>
      <c r="B17" s="99"/>
      <c r="C17" s="99"/>
      <c r="D17" s="99"/>
      <c r="E17" s="99"/>
      <c r="F17" s="99">
        <v>1703366.41</v>
      </c>
      <c r="G17" s="95">
        <f t="shared" si="0"/>
        <v>1703366.41</v>
      </c>
    </row>
    <row r="18" spans="1:7" ht="14.1" customHeight="1" x14ac:dyDescent="0.25">
      <c r="A18" s="100" t="s">
        <v>154</v>
      </c>
      <c r="B18" s="99"/>
      <c r="C18" s="99"/>
      <c r="D18" s="99"/>
      <c r="E18" s="99"/>
      <c r="F18" s="99">
        <v>1135836.51</v>
      </c>
      <c r="G18" s="95">
        <f t="shared" si="0"/>
        <v>1135836.51</v>
      </c>
    </row>
    <row r="19" spans="1:7" ht="14.1" customHeight="1" x14ac:dyDescent="0.25">
      <c r="A19" s="100" t="s">
        <v>155</v>
      </c>
      <c r="B19" s="99"/>
      <c r="C19" s="99"/>
      <c r="D19" s="99"/>
      <c r="E19" s="99"/>
      <c r="F19" s="99">
        <v>0</v>
      </c>
      <c r="G19" s="95">
        <f t="shared" si="0"/>
        <v>0</v>
      </c>
    </row>
    <row r="20" spans="1:7" ht="14.1" customHeight="1" x14ac:dyDescent="0.25">
      <c r="A20" s="101" t="s">
        <v>132</v>
      </c>
      <c r="B20" s="99"/>
      <c r="C20" s="102"/>
      <c r="D20" s="99"/>
      <c r="E20" s="102">
        <v>3146.8</v>
      </c>
      <c r="F20" s="99"/>
      <c r="G20" s="95">
        <f t="shared" si="0"/>
        <v>3146.8</v>
      </c>
    </row>
    <row r="21" spans="1:7" ht="14.1" customHeight="1" x14ac:dyDescent="0.25">
      <c r="A21" s="94" t="s">
        <v>133</v>
      </c>
      <c r="B21" s="103">
        <f>SUM(B11:B20)</f>
        <v>7820974</v>
      </c>
      <c r="C21" s="103">
        <f t="shared" ref="C21:G21" si="1">SUM(C11:C20)</f>
        <v>20174321.199999999</v>
      </c>
      <c r="D21" s="103">
        <f t="shared" si="1"/>
        <v>0</v>
      </c>
      <c r="E21" s="103">
        <f>+E20</f>
        <v>3146.8</v>
      </c>
      <c r="F21" s="103">
        <f>SUM(F15:F19)</f>
        <v>5885718.2199999997</v>
      </c>
      <c r="G21" s="103">
        <f t="shared" si="1"/>
        <v>33884160.219999999</v>
      </c>
    </row>
    <row r="22" spans="1:7" ht="14.1" customHeight="1" x14ac:dyDescent="0.25">
      <c r="A22" s="94" t="s">
        <v>134</v>
      </c>
      <c r="B22" s="103"/>
      <c r="C22" s="103"/>
      <c r="D22" s="103"/>
      <c r="E22" s="103"/>
      <c r="F22" s="103"/>
      <c r="G22" s="103"/>
    </row>
    <row r="23" spans="1:7" ht="14.1" customHeight="1" x14ac:dyDescent="0.25">
      <c r="A23" s="94" t="s">
        <v>135</v>
      </c>
      <c r="B23" s="104"/>
      <c r="C23" s="105">
        <v>198429</v>
      </c>
      <c r="D23" s="103"/>
      <c r="E23" s="103"/>
      <c r="F23" s="104"/>
      <c r="G23" s="95">
        <f t="shared" ref="G23:G38" si="2">SUM(B23:F23)</f>
        <v>198429</v>
      </c>
    </row>
    <row r="24" spans="1:7" ht="14.1" customHeight="1" x14ac:dyDescent="0.25">
      <c r="A24" s="94" t="s">
        <v>136</v>
      </c>
      <c r="B24" s="105"/>
      <c r="C24" s="105">
        <v>932117.68</v>
      </c>
      <c r="D24" s="111"/>
      <c r="E24" s="111"/>
      <c r="F24" s="105"/>
      <c r="G24" s="95">
        <f t="shared" si="2"/>
        <v>932117.68</v>
      </c>
    </row>
    <row r="25" spans="1:7" ht="14.1" customHeight="1" x14ac:dyDescent="0.25">
      <c r="A25" s="94" t="s">
        <v>137</v>
      </c>
      <c r="B25" s="105"/>
      <c r="C25" s="105">
        <f>203718.2+748507.3+2727649.2</f>
        <v>3679874.7</v>
      </c>
      <c r="D25" s="111"/>
      <c r="E25" s="111"/>
      <c r="F25" s="105">
        <v>21000</v>
      </c>
      <c r="G25" s="95">
        <f t="shared" si="2"/>
        <v>3700874.7</v>
      </c>
    </row>
    <row r="26" spans="1:7" ht="14.1" customHeight="1" x14ac:dyDescent="0.25">
      <c r="A26" s="94" t="s">
        <v>138</v>
      </c>
      <c r="B26" s="105"/>
      <c r="C26" s="105">
        <v>2487551</v>
      </c>
      <c r="D26" s="111"/>
      <c r="E26" s="111"/>
      <c r="F26" s="105"/>
      <c r="G26" s="95">
        <f t="shared" si="2"/>
        <v>2487551</v>
      </c>
    </row>
    <row r="27" spans="1:7" ht="14.1" customHeight="1" x14ac:dyDescent="0.25">
      <c r="A27" s="94" t="s">
        <v>156</v>
      </c>
      <c r="B27" s="105"/>
      <c r="C27" s="105">
        <v>70909.600000000006</v>
      </c>
      <c r="D27" s="111"/>
      <c r="E27" s="111"/>
      <c r="F27" s="105"/>
      <c r="G27" s="95">
        <f t="shared" si="2"/>
        <v>70909.600000000006</v>
      </c>
    </row>
    <row r="28" spans="1:7" ht="14.1" customHeight="1" x14ac:dyDescent="0.25">
      <c r="A28" s="94" t="s">
        <v>140</v>
      </c>
      <c r="B28" s="105"/>
      <c r="C28" s="105">
        <v>279342</v>
      </c>
      <c r="D28" s="111"/>
      <c r="E28" s="111"/>
      <c r="F28" s="105">
        <f>487373+249553.5</f>
        <v>736926.5</v>
      </c>
      <c r="G28" s="95">
        <f t="shared" si="2"/>
        <v>1016268.5</v>
      </c>
    </row>
    <row r="29" spans="1:7" ht="14.1" customHeight="1" x14ac:dyDescent="0.25">
      <c r="A29" s="94" t="s">
        <v>141</v>
      </c>
      <c r="B29" s="105"/>
      <c r="C29" s="105">
        <f>23925+116006+127261</f>
        <v>267192</v>
      </c>
      <c r="D29" s="111"/>
      <c r="E29" s="111"/>
      <c r="F29" s="105">
        <f>32325+470889+117449.75</f>
        <v>620663.75</v>
      </c>
      <c r="G29" s="95">
        <f t="shared" si="2"/>
        <v>887855.75</v>
      </c>
    </row>
    <row r="30" spans="1:7" ht="14.1" customHeight="1" x14ac:dyDescent="0.25">
      <c r="A30" s="94" t="s">
        <v>157</v>
      </c>
      <c r="B30" s="105"/>
      <c r="C30" s="105">
        <v>81937.5</v>
      </c>
      <c r="D30" s="111"/>
      <c r="E30" s="111"/>
      <c r="F30" s="105"/>
      <c r="G30" s="95">
        <f t="shared" si="2"/>
        <v>81937.5</v>
      </c>
    </row>
    <row r="31" spans="1:7" ht="14.1" customHeight="1" x14ac:dyDescent="0.25">
      <c r="A31" s="94" t="s">
        <v>142</v>
      </c>
      <c r="B31" s="105"/>
      <c r="C31" s="105"/>
      <c r="D31" s="111"/>
      <c r="E31" s="111"/>
      <c r="F31" s="105"/>
      <c r="G31" s="95">
        <f t="shared" si="2"/>
        <v>0</v>
      </c>
    </row>
    <row r="32" spans="1:7" ht="14.1" customHeight="1" x14ac:dyDescent="0.25">
      <c r="A32" s="94" t="s">
        <v>158</v>
      </c>
      <c r="B32" s="105"/>
      <c r="C32" s="105">
        <f>93166+699000</f>
        <v>792166</v>
      </c>
      <c r="D32" s="111"/>
      <c r="E32" s="111"/>
      <c r="F32" s="105"/>
      <c r="G32" s="95">
        <f t="shared" si="2"/>
        <v>792166</v>
      </c>
    </row>
    <row r="33" spans="1:7" ht="14.1" customHeight="1" x14ac:dyDescent="0.25">
      <c r="A33" s="96" t="s">
        <v>159</v>
      </c>
      <c r="B33" s="105"/>
      <c r="C33" s="105">
        <v>299550</v>
      </c>
      <c r="D33" s="111"/>
      <c r="E33" s="111"/>
      <c r="F33" s="105"/>
      <c r="G33" s="95">
        <f t="shared" si="2"/>
        <v>299550</v>
      </c>
    </row>
    <row r="34" spans="1:7" ht="14.1" customHeight="1" x14ac:dyDescent="0.25">
      <c r="A34" s="96" t="s">
        <v>160</v>
      </c>
      <c r="B34" s="106"/>
      <c r="C34" s="106">
        <f>66545+289700</f>
        <v>356245</v>
      </c>
      <c r="D34" s="110"/>
      <c r="E34" s="110"/>
      <c r="F34" s="106"/>
      <c r="G34" s="95">
        <f t="shared" si="2"/>
        <v>356245</v>
      </c>
    </row>
    <row r="35" spans="1:7" ht="14.1" customHeight="1" x14ac:dyDescent="0.25">
      <c r="A35" s="96" t="s">
        <v>161</v>
      </c>
      <c r="B35" s="106"/>
      <c r="C35" s="106">
        <v>499000</v>
      </c>
      <c r="D35" s="110"/>
      <c r="E35" s="110"/>
      <c r="F35" s="106"/>
      <c r="G35" s="95">
        <f t="shared" si="2"/>
        <v>499000</v>
      </c>
    </row>
    <row r="36" spans="1:7" ht="14.1" customHeight="1" x14ac:dyDescent="0.25">
      <c r="A36" s="96" t="s">
        <v>144</v>
      </c>
      <c r="B36" s="106"/>
      <c r="C36" s="106">
        <v>3790000</v>
      </c>
      <c r="D36" s="110"/>
      <c r="E36" s="110"/>
      <c r="F36" s="106"/>
      <c r="G36" s="95">
        <f t="shared" si="2"/>
        <v>3790000</v>
      </c>
    </row>
    <row r="37" spans="1:7" ht="14.1" customHeight="1" x14ac:dyDescent="0.25">
      <c r="A37" s="96" t="s">
        <v>145</v>
      </c>
      <c r="B37" s="97"/>
      <c r="C37" s="97"/>
      <c r="D37" s="95"/>
      <c r="E37" s="95"/>
      <c r="F37" s="95"/>
      <c r="G37" s="95">
        <f t="shared" si="2"/>
        <v>0</v>
      </c>
    </row>
    <row r="38" spans="1:7" ht="14.1" customHeight="1" x14ac:dyDescent="0.25">
      <c r="A38" s="96" t="s">
        <v>146</v>
      </c>
      <c r="B38" s="97">
        <f>SUM(B23:B37)</f>
        <v>0</v>
      </c>
      <c r="C38" s="97">
        <f>SUM(C23:C37)</f>
        <v>13734314.48</v>
      </c>
      <c r="D38" s="95">
        <f>SUM(D23:D37)</f>
        <v>0</v>
      </c>
      <c r="E38" s="95">
        <f>SUM(E23:E37)</f>
        <v>0</v>
      </c>
      <c r="F38" s="95">
        <f>SUM(F23:F37)</f>
        <v>1378590.25</v>
      </c>
      <c r="G38" s="95">
        <f t="shared" si="2"/>
        <v>15112904.73</v>
      </c>
    </row>
    <row r="39" spans="1:7" ht="14.1" customHeight="1" x14ac:dyDescent="0.25">
      <c r="A39" s="96" t="s">
        <v>147</v>
      </c>
      <c r="B39" s="97">
        <f t="shared" ref="B39:G39" si="3">+B21-B38</f>
        <v>7820974</v>
      </c>
      <c r="C39" s="97">
        <f t="shared" si="3"/>
        <v>6440006.7199999988</v>
      </c>
      <c r="D39" s="95">
        <f t="shared" si="3"/>
        <v>0</v>
      </c>
      <c r="E39" s="95">
        <f>+E20-E38</f>
        <v>3146.8</v>
      </c>
      <c r="F39" s="95">
        <f t="shared" si="3"/>
        <v>4507127.97</v>
      </c>
      <c r="G39" s="95">
        <f t="shared" si="3"/>
        <v>18771255.489999998</v>
      </c>
    </row>
    <row r="40" spans="1:7" ht="5.25" customHeight="1" x14ac:dyDescent="0.25">
      <c r="A40" s="92"/>
      <c r="B40" s="92"/>
      <c r="C40" s="92"/>
      <c r="D40" s="92"/>
      <c r="E40" s="92"/>
      <c r="F40" s="92"/>
      <c r="G40" s="92"/>
    </row>
    <row r="41" spans="1:7" ht="14.1" customHeight="1" x14ac:dyDescent="0.25">
      <c r="A41" s="150" t="s">
        <v>148</v>
      </c>
      <c r="B41" s="150"/>
      <c r="C41" s="150"/>
      <c r="D41" s="150"/>
      <c r="E41" s="150"/>
      <c r="F41" s="150"/>
      <c r="G41" s="150"/>
    </row>
    <row r="42" spans="1:7" ht="14.1" customHeight="1" x14ac:dyDescent="0.25">
      <c r="A42" s="109"/>
      <c r="B42" s="109"/>
      <c r="C42" s="109"/>
      <c r="D42" s="109"/>
      <c r="E42" s="109"/>
      <c r="F42" s="109"/>
      <c r="G42" s="109"/>
    </row>
    <row r="43" spans="1:7" ht="14.1" customHeight="1" x14ac:dyDescent="0.25">
      <c r="A43" s="151" t="s">
        <v>97</v>
      </c>
      <c r="B43" s="151"/>
      <c r="C43" s="92"/>
      <c r="D43" s="92"/>
      <c r="E43" s="92"/>
      <c r="F43" s="92"/>
      <c r="G43" s="92"/>
    </row>
    <row r="44" spans="1:7" ht="14.1" customHeight="1" x14ac:dyDescent="0.25">
      <c r="A44" s="151" t="s">
        <v>149</v>
      </c>
      <c r="B44" s="151"/>
      <c r="C44" s="92"/>
      <c r="D44" s="92"/>
      <c r="E44" s="92"/>
      <c r="F44" s="92"/>
      <c r="G44" s="92"/>
    </row>
    <row r="45" spans="1:7" ht="14.1" customHeight="1" x14ac:dyDescent="0.25"/>
    <row r="46" spans="1:7" ht="14.1" customHeight="1" x14ac:dyDescent="0.25"/>
    <row r="47" spans="1:7" ht="14.1" customHeight="1" x14ac:dyDescent="0.25"/>
    <row r="48" spans="1:7" ht="14.1" customHeight="1" x14ac:dyDescent="0.25"/>
    <row r="49" ht="14.1" customHeight="1" x14ac:dyDescent="0.25"/>
    <row r="50" ht="14.1" customHeight="1" x14ac:dyDescent="0.25"/>
    <row r="51" ht="15" customHeight="1" x14ac:dyDescent="0.25"/>
    <row r="52" ht="15" customHeight="1" x14ac:dyDescent="0.25"/>
    <row r="53" ht="15" customHeight="1" x14ac:dyDescent="0.25"/>
  </sheetData>
  <mergeCells count="15">
    <mergeCell ref="A41:G41"/>
    <mergeCell ref="A43:B43"/>
    <mergeCell ref="A44:B44"/>
    <mergeCell ref="A1:D1"/>
    <mergeCell ref="A3:G3"/>
    <mergeCell ref="A4:G4"/>
    <mergeCell ref="A5:G5"/>
    <mergeCell ref="A7:A10"/>
    <mergeCell ref="B7:C7"/>
    <mergeCell ref="D7:D10"/>
    <mergeCell ref="E7:E10"/>
    <mergeCell ref="F7:F10"/>
    <mergeCell ref="G7:G10"/>
    <mergeCell ref="B8:B10"/>
    <mergeCell ref="C8:C10"/>
  </mergeCells>
  <pageMargins left="1.25" right="0.5" top="0.5" bottom="0.25" header="0.31496062992126" footer="0.31496062992126"/>
  <pageSetup paperSize="256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portal ldrrm 12.31.17 </vt:lpstr>
      <vt:lpstr>portal lbp 12.31.17</vt:lpstr>
      <vt:lpstr>portal ldrrm 03.31.18</vt:lpstr>
      <vt:lpstr>portal lbp 03.31.18</vt:lpstr>
      <vt:lpstr>ldrrm 06.30.18</vt:lpstr>
      <vt:lpstr>LDRRM DILG PORTAL sept 2021</vt:lpstr>
      <vt:lpstr>LDRRMFU dec 2022</vt:lpstr>
      <vt:lpstr>'LDRRM DILG PORTAL sept 2021'!Print_Area</vt:lpstr>
      <vt:lpstr>'LDRRMFU dec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abeth</dc:creator>
  <cp:lastModifiedBy>i5_7400</cp:lastModifiedBy>
  <cp:lastPrinted>2023-01-19T09:32:46Z</cp:lastPrinted>
  <dcterms:created xsi:type="dcterms:W3CDTF">2018-05-17T03:37:05Z</dcterms:created>
  <dcterms:modified xsi:type="dcterms:W3CDTF">2023-01-24T00:59:51Z</dcterms:modified>
</cp:coreProperties>
</file>